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105" windowWidth="12120" windowHeight="9120" tabRatio="598" activeTab="0"/>
  </bookViews>
  <sheets>
    <sheet name="Front End" sheetId="1" r:id="rId1"/>
    <sheet name="Detailed Data" sheetId="2" r:id="rId2"/>
    <sheet name="Detailed Data 2" sheetId="3" r:id="rId3"/>
    <sheet name="Client Base Data" sheetId="4" state="hidden" r:id="rId4"/>
    <sheet name="Client Software Acquisition" sheetId="5" state="hidden" r:id="rId5"/>
    <sheet name="Server Software Acquisition" sheetId="6" state="hidden" r:id="rId6"/>
    <sheet name="Application Integration" sheetId="7" state="hidden" r:id="rId7"/>
    <sheet name="Application Installation" sheetId="8" state="hidden" r:id="rId8"/>
    <sheet name="Application Training" sheetId="9" state="hidden" r:id="rId9"/>
    <sheet name="Application Maintenance" sheetId="10" state="hidden" r:id="rId10"/>
    <sheet name="Hardware Procurement" sheetId="11" state="hidden" r:id="rId11"/>
    <sheet name="Server Operations" sheetId="12" state="hidden" r:id="rId12"/>
    <sheet name="Loss of Productivity" sheetId="13" state="hidden" r:id="rId13"/>
    <sheet name="Reports" sheetId="14" r:id="rId14"/>
    <sheet name="Detailed Reports" sheetId="15" r:id="rId15"/>
    <sheet name="Technical Support" sheetId="16" state="hidden" r:id="rId16"/>
    <sheet name="FatClient Base Data" sheetId="17" state="hidden" r:id="rId17"/>
    <sheet name="Fat-Application Development" sheetId="18" state="hidden" r:id="rId18"/>
    <sheet name="Fat-Client Software Acquisition" sheetId="19" state="hidden" r:id="rId19"/>
    <sheet name="Fat-Server Software Acquisition" sheetId="20" state="hidden" r:id="rId20"/>
    <sheet name="Fat-Application Integration" sheetId="21" state="hidden" r:id="rId21"/>
    <sheet name="Fat-Application Installation" sheetId="22" state="hidden" r:id="rId22"/>
    <sheet name="Fat-Application Training" sheetId="23" state="hidden" r:id="rId23"/>
    <sheet name="Fat-Hardware Procurement" sheetId="24" state="hidden" r:id="rId24"/>
    <sheet name="Fat WAN Infrastructure" sheetId="25" state="hidden" r:id="rId25"/>
    <sheet name="Fat-Application Maintenance" sheetId="26" state="hidden" r:id="rId26"/>
    <sheet name="Fat-Server Operations" sheetId="27" state="hidden" r:id="rId27"/>
    <sheet name="Fat-Loss of Productivity" sheetId="28" state="hidden" r:id="rId28"/>
    <sheet name="Fat client TOTALS" sheetId="29" state="hidden" r:id="rId29"/>
    <sheet name="Thin Client Base Data " sheetId="30" state="hidden" r:id="rId30"/>
    <sheet name="Thin Application Development" sheetId="31" state="hidden" r:id="rId31"/>
    <sheet name="ThinClient Software Acquisition" sheetId="32" state="hidden" r:id="rId32"/>
    <sheet name="ThinServer Software Acquisition" sheetId="33" state="hidden" r:id="rId33"/>
    <sheet name="Thin Application Integration" sheetId="34" state="hidden" r:id="rId34"/>
    <sheet name="Thin Application Installation" sheetId="35" state="hidden" r:id="rId35"/>
    <sheet name="Thin Application Training" sheetId="36" state="hidden" r:id="rId36"/>
    <sheet name="Thin Hardware Procurement" sheetId="37" state="hidden" r:id="rId37"/>
    <sheet name="Thin WAN Infrastructure" sheetId="38" state="hidden" r:id="rId38"/>
    <sheet name="Thin Application Maintenance" sheetId="39" state="hidden" r:id="rId39"/>
    <sheet name="Thin Server Operations" sheetId="40" state="hidden" r:id="rId40"/>
    <sheet name="Thin Loss of Productivity" sheetId="41" state="hidden" r:id="rId41"/>
    <sheet name="Thin Client TOTALS" sheetId="42" state="hidden" r:id="rId42"/>
    <sheet name="Citrix Client Base Data" sheetId="43" state="hidden" r:id="rId43"/>
    <sheet name="Citrix Application Development" sheetId="44" state="hidden" r:id="rId44"/>
    <sheet name="Citrix Client Soft. Acquisition" sheetId="45" state="hidden" r:id="rId45"/>
    <sheet name="Citrix Server Soft. Acquisition" sheetId="46" state="hidden" r:id="rId46"/>
    <sheet name="Citrix Application Integration" sheetId="47" state="hidden" r:id="rId47"/>
    <sheet name="Citrix Application Installation" sheetId="48" state="hidden" r:id="rId48"/>
    <sheet name="Citrix Application Training" sheetId="49" state="hidden" r:id="rId49"/>
    <sheet name="Citrix Hardware Procurement" sheetId="50" state="hidden" r:id="rId50"/>
    <sheet name="Citrix WAN Infrastructure" sheetId="51" state="hidden" r:id="rId51"/>
    <sheet name="Citrix Application Maintenance" sheetId="52" state="hidden" r:id="rId52"/>
    <sheet name="Citrix Server Operations" sheetId="53" state="hidden" r:id="rId53"/>
    <sheet name="Citrix Loss of Productivity" sheetId="54" state="hidden" r:id="rId54"/>
    <sheet name="Citrix Client TOTALS" sheetId="55" state="hidden" r:id="rId55"/>
    <sheet name="Building Infrastructure" sheetId="56" state="hidden" r:id="rId56"/>
    <sheet name="Calculation Sheet" sheetId="57" state="hidden" r:id="rId57"/>
    <sheet name="Print" sheetId="58" state="hidden" r:id="rId58"/>
  </sheets>
  <definedNames>
    <definedName name="AdjustedED">'Calculation Sheet'!$B$86</definedName>
    <definedName name="Cs" localSheetId="57">'Print'!#REF!</definedName>
    <definedName name="Cs">'Calculation Sheet'!$H$61</definedName>
    <definedName name="Cu" localSheetId="57">'Print'!#REF!</definedName>
    <definedName name="Cu">'Calculation Sheet'!$H$62</definedName>
    <definedName name="CXl" localSheetId="57">'Print'!#REF!</definedName>
    <definedName name="CXl">'Calculation Sheet'!$D$89</definedName>
    <definedName name="CXr" localSheetId="57">'Print'!#REF!</definedName>
    <definedName name="CXr">'Calculation Sheet'!$D$88</definedName>
    <definedName name="EightD" localSheetId="57">'Print'!#REF!</definedName>
    <definedName name="EightD">'Calculation Sheet'!$B$85</definedName>
    <definedName name="FTc" localSheetId="57">'Print'!#REF!</definedName>
    <definedName name="FTc">'Calculation Sheet'!$D$87</definedName>
    <definedName name="_xlnm.Print_Area" localSheetId="7">'Application Installation'!$B$2:$K$17</definedName>
    <definedName name="_xlnm.Print_Area" localSheetId="6">'Application Integration'!$B$2:$K$17</definedName>
    <definedName name="_xlnm.Print_Area" localSheetId="9">'Application Maintenance'!$B$2:$K$18</definedName>
    <definedName name="_xlnm.Print_Area" localSheetId="8">'Application Training'!$B$2:$J$23</definedName>
    <definedName name="_xlnm.Print_Area" localSheetId="55">'Building Infrastructure'!$A$1:$H$22</definedName>
    <definedName name="_xlnm.Print_Area" localSheetId="43">'Citrix Application Development'!$A$1:$H$36</definedName>
    <definedName name="_xlnm.Print_Area" localSheetId="47">'Citrix Application Installation'!$A$1:$I$20</definedName>
    <definedName name="_xlnm.Print_Area" localSheetId="46">'Citrix Application Integration'!$A$1:$I$21</definedName>
    <definedName name="_xlnm.Print_Area" localSheetId="51">'Citrix Application Maintenance'!$A$1:$H$25</definedName>
    <definedName name="_xlnm.Print_Area" localSheetId="48">'Citrix Application Training'!$A$1:$H$43</definedName>
    <definedName name="_xlnm.Print_Area" localSheetId="42">'Citrix Client Base Data'!$A$1:$H$59</definedName>
    <definedName name="_xlnm.Print_Area" localSheetId="44">'Citrix Client Soft. Acquisition'!$A$1:$J$33</definedName>
    <definedName name="_xlnm.Print_Area" localSheetId="54">'Citrix Client TOTALS'!$A$1:$H$25</definedName>
    <definedName name="_xlnm.Print_Area" localSheetId="49">'Citrix Hardware Procurement'!$A$1:$I$83</definedName>
    <definedName name="_xlnm.Print_Area" localSheetId="53">'Citrix Loss of Productivity'!$A$1:$H$33</definedName>
    <definedName name="_xlnm.Print_Area" localSheetId="52">'Citrix Server Operations'!$A$1:$G$16</definedName>
    <definedName name="_xlnm.Print_Area" localSheetId="45">'Citrix Server Soft. Acquisition'!$A$1:$I$35</definedName>
    <definedName name="_xlnm.Print_Area" localSheetId="50">'Citrix WAN Infrastructure'!$A$1:$H$46</definedName>
    <definedName name="_xlnm.Print_Area" localSheetId="3">'Client Base Data'!$A$1:$K$21</definedName>
    <definedName name="_xlnm.Print_Area" localSheetId="4">'Client Software Acquisition'!$B$2:$K$28</definedName>
    <definedName name="_xlnm.Print_Area" localSheetId="1">'Detailed Data'!$A$1:$I$65</definedName>
    <definedName name="_xlnm.Print_Area" localSheetId="2">'Detailed Data 2'!$A$1:$I$51</definedName>
    <definedName name="_xlnm.Print_Area" localSheetId="14">'Detailed Reports'!$A$1:$F$39</definedName>
    <definedName name="_xlnm.Print_Area" localSheetId="28">'Fat client TOTALS'!$A$1:$H$25</definedName>
    <definedName name="_xlnm.Print_Area" localSheetId="24">'Fat WAN Infrastructure'!$A$1:$H$46</definedName>
    <definedName name="_xlnm.Print_Area" localSheetId="17">'Fat-Application Development'!$A$1:$I$36</definedName>
    <definedName name="_xlnm.Print_Area" localSheetId="21">'Fat-Application Installation'!$A$1:$I$21</definedName>
    <definedName name="_xlnm.Print_Area" localSheetId="20">'Fat-Application Integration'!$A$1:$I$22</definedName>
    <definedName name="_xlnm.Print_Area" localSheetId="25">'Fat-Application Maintenance'!$A$1:$I$26</definedName>
    <definedName name="_xlnm.Print_Area" localSheetId="22">'Fat-Application Training'!$A$1:$H$43</definedName>
    <definedName name="_xlnm.Print_Area" localSheetId="16">'FatClient Base Data'!$A$1:$I$59</definedName>
    <definedName name="_xlnm.Print_Area" localSheetId="18">'Fat-Client Software Acquisition'!$A$1:$I$33</definedName>
    <definedName name="_xlnm.Print_Area" localSheetId="23">'Fat-Hardware Procurement'!$A$1:$I$83</definedName>
    <definedName name="_xlnm.Print_Area" localSheetId="27">'Fat-Loss of Productivity'!$A$1:$I$33</definedName>
    <definedName name="_xlnm.Print_Area" localSheetId="26">'Fat-Server Operations'!$A$1:$G$19</definedName>
    <definedName name="_xlnm.Print_Area" localSheetId="19">'Fat-Server Software Acquisition'!$A$1:$I$35</definedName>
    <definedName name="_xlnm.Print_Area" localSheetId="0">'Front End'!$A$1:$H$62</definedName>
    <definedName name="_xlnm.Print_Area" localSheetId="10">'Hardware Procurement'!$B$2:$K$75</definedName>
    <definedName name="_xlnm.Print_Area" localSheetId="12">'Loss of Productivity'!$B$2:$K$14</definedName>
    <definedName name="_xlnm.Print_Area" localSheetId="13">'Reports'!$A$1:$F$39</definedName>
    <definedName name="_xlnm.Print_Area" localSheetId="11">'Server Operations'!$B$2:$I$15</definedName>
    <definedName name="_xlnm.Print_Area" localSheetId="5">'Server Software Acquisition'!$B$2:$K$30</definedName>
    <definedName name="_xlnm.Print_Area" localSheetId="15">'Technical Support'!$A$1:$H$21</definedName>
    <definedName name="_xlnm.Print_Area" localSheetId="30">'Thin Application Development'!$A$1:$H$36</definedName>
    <definedName name="_xlnm.Print_Area" localSheetId="34">'Thin Application Installation'!$A$1:$I$20</definedName>
    <definedName name="_xlnm.Print_Area" localSheetId="33">'Thin Application Integration'!$A$1:$I$21</definedName>
    <definedName name="_xlnm.Print_Area" localSheetId="38">'Thin Application Maintenance'!$A$1:$H$25</definedName>
    <definedName name="_xlnm.Print_Area" localSheetId="35">'Thin Application Training'!$A$1:$H$43</definedName>
    <definedName name="_xlnm.Print_Area" localSheetId="29">'Thin Client Base Data '!$A$1:$I$60</definedName>
    <definedName name="_xlnm.Print_Area" localSheetId="41">'Thin Client TOTALS'!$A$1:$H$25</definedName>
    <definedName name="_xlnm.Print_Area" localSheetId="36">'Thin Hardware Procurement'!$A$1:$I$83</definedName>
    <definedName name="_xlnm.Print_Area" localSheetId="40">'Thin Loss of Productivity'!$A$1:$H$33</definedName>
    <definedName name="_xlnm.Print_Area" localSheetId="39">'Thin Server Operations'!$A$1:$G$18</definedName>
    <definedName name="_xlnm.Print_Area" localSheetId="37">'Thin WAN Infrastructure'!$A$1:$H$46</definedName>
    <definedName name="_xlnm.Print_Area" localSheetId="31">'ThinClient Software Acquisition'!$A$1:$J$33</definedName>
    <definedName name="_xlnm.Print_Area" localSheetId="32">'ThinServer Software Acquisition'!$A$1:$I$36</definedName>
    <definedName name="TCl" localSheetId="57">'Print'!#REF!</definedName>
    <definedName name="TCl">'Calculation Sheet'!$D$91</definedName>
    <definedName name="TCr" localSheetId="57">'Print'!#REF!</definedName>
    <definedName name="TCr">'Calculation Sheet'!$D$90</definedName>
    <definedName name="Z_0FC8EAE0_4F06_11D3_87B6_9C8233D9FA04_.wvu.PrintArea" localSheetId="7" hidden="1">'Application Installation'!$B$2:$K$17</definedName>
    <definedName name="Z_0FC8EAE0_4F06_11D3_87B6_9C8233D9FA04_.wvu.PrintArea" localSheetId="6" hidden="1">'Application Integration'!$B$2:$K$17</definedName>
    <definedName name="Z_0FC8EAE0_4F06_11D3_87B6_9C8233D9FA04_.wvu.PrintArea" localSheetId="9" hidden="1">'Application Maintenance'!$B$2:$K$18</definedName>
    <definedName name="Z_0FC8EAE0_4F06_11D3_87B6_9C8233D9FA04_.wvu.PrintArea" localSheetId="8" hidden="1">'Application Training'!$B$2:$J$23</definedName>
    <definedName name="Z_0FC8EAE0_4F06_11D3_87B6_9C8233D9FA04_.wvu.PrintArea" localSheetId="55" hidden="1">'Building Infrastructure'!$A$1:$H$22</definedName>
    <definedName name="Z_0FC8EAE0_4F06_11D3_87B6_9C8233D9FA04_.wvu.PrintArea" localSheetId="43" hidden="1">'Citrix Application Development'!$A$1:$H$36</definedName>
    <definedName name="Z_0FC8EAE0_4F06_11D3_87B6_9C8233D9FA04_.wvu.PrintArea" localSheetId="47" hidden="1">'Citrix Application Installation'!$A$1:$I$20</definedName>
    <definedName name="Z_0FC8EAE0_4F06_11D3_87B6_9C8233D9FA04_.wvu.PrintArea" localSheetId="46" hidden="1">'Citrix Application Integration'!$A$1:$I$21</definedName>
    <definedName name="Z_0FC8EAE0_4F06_11D3_87B6_9C8233D9FA04_.wvu.PrintArea" localSheetId="51" hidden="1">'Citrix Application Maintenance'!$A$1:$H$25</definedName>
    <definedName name="Z_0FC8EAE0_4F06_11D3_87B6_9C8233D9FA04_.wvu.PrintArea" localSheetId="48" hidden="1">'Citrix Application Training'!$A$1:$H$43</definedName>
    <definedName name="Z_0FC8EAE0_4F06_11D3_87B6_9C8233D9FA04_.wvu.PrintArea" localSheetId="42" hidden="1">'Citrix Client Base Data'!$A$1:$H$59</definedName>
    <definedName name="Z_0FC8EAE0_4F06_11D3_87B6_9C8233D9FA04_.wvu.PrintArea" localSheetId="44" hidden="1">'Citrix Client Soft. Acquisition'!$A$1:$J$33</definedName>
    <definedName name="Z_0FC8EAE0_4F06_11D3_87B6_9C8233D9FA04_.wvu.PrintArea" localSheetId="54" hidden="1">'Citrix Client TOTALS'!$A$1:$H$25</definedName>
    <definedName name="Z_0FC8EAE0_4F06_11D3_87B6_9C8233D9FA04_.wvu.PrintArea" localSheetId="49" hidden="1">'Citrix Hardware Procurement'!$A$1:$I$83</definedName>
    <definedName name="Z_0FC8EAE0_4F06_11D3_87B6_9C8233D9FA04_.wvu.PrintArea" localSheetId="53" hidden="1">'Citrix Loss of Productivity'!$A$1:$H$33</definedName>
    <definedName name="Z_0FC8EAE0_4F06_11D3_87B6_9C8233D9FA04_.wvu.PrintArea" localSheetId="52" hidden="1">'Citrix Server Operations'!$A$1:$G$16</definedName>
    <definedName name="Z_0FC8EAE0_4F06_11D3_87B6_9C8233D9FA04_.wvu.PrintArea" localSheetId="45" hidden="1">'Citrix Server Soft. Acquisition'!$A$1:$I$35</definedName>
    <definedName name="Z_0FC8EAE0_4F06_11D3_87B6_9C8233D9FA04_.wvu.PrintArea" localSheetId="50" hidden="1">'Citrix WAN Infrastructure'!$A$1:$H$46</definedName>
    <definedName name="Z_0FC8EAE0_4F06_11D3_87B6_9C8233D9FA04_.wvu.PrintArea" localSheetId="3" hidden="1">'Client Base Data'!$A$1:$K$21</definedName>
    <definedName name="Z_0FC8EAE0_4F06_11D3_87B6_9C8233D9FA04_.wvu.PrintArea" localSheetId="4" hidden="1">'Client Software Acquisition'!$B$2:$K$28</definedName>
    <definedName name="Z_0FC8EAE0_4F06_11D3_87B6_9C8233D9FA04_.wvu.PrintArea" localSheetId="1" hidden="1">'Detailed Data'!$A$1:$I$65</definedName>
    <definedName name="Z_0FC8EAE0_4F06_11D3_87B6_9C8233D9FA04_.wvu.PrintArea" localSheetId="2" hidden="1">'Detailed Data 2'!$A$1:$I$51</definedName>
    <definedName name="Z_0FC8EAE0_4F06_11D3_87B6_9C8233D9FA04_.wvu.PrintArea" localSheetId="14" hidden="1">'Detailed Reports'!$A$1:$F$39</definedName>
    <definedName name="Z_0FC8EAE0_4F06_11D3_87B6_9C8233D9FA04_.wvu.PrintArea" localSheetId="28" hidden="1">'Fat client TOTALS'!$A$1:$H$25</definedName>
    <definedName name="Z_0FC8EAE0_4F06_11D3_87B6_9C8233D9FA04_.wvu.PrintArea" localSheetId="24" hidden="1">'Fat WAN Infrastructure'!$A$1:$H$46</definedName>
    <definedName name="Z_0FC8EAE0_4F06_11D3_87B6_9C8233D9FA04_.wvu.PrintArea" localSheetId="17" hidden="1">'Fat-Application Development'!$A$1:$I$36</definedName>
    <definedName name="Z_0FC8EAE0_4F06_11D3_87B6_9C8233D9FA04_.wvu.PrintArea" localSheetId="21" hidden="1">'Fat-Application Installation'!$A$1:$I$21</definedName>
    <definedName name="Z_0FC8EAE0_4F06_11D3_87B6_9C8233D9FA04_.wvu.PrintArea" localSheetId="20" hidden="1">'Fat-Application Integration'!$A$1:$I$22</definedName>
    <definedName name="Z_0FC8EAE0_4F06_11D3_87B6_9C8233D9FA04_.wvu.PrintArea" localSheetId="25" hidden="1">'Fat-Application Maintenance'!$A$1:$I$26</definedName>
    <definedName name="Z_0FC8EAE0_4F06_11D3_87B6_9C8233D9FA04_.wvu.PrintArea" localSheetId="22" hidden="1">'Fat-Application Training'!$A$1:$H$43</definedName>
    <definedName name="Z_0FC8EAE0_4F06_11D3_87B6_9C8233D9FA04_.wvu.PrintArea" localSheetId="16" hidden="1">'FatClient Base Data'!$A$1:$I$59</definedName>
    <definedName name="Z_0FC8EAE0_4F06_11D3_87B6_9C8233D9FA04_.wvu.PrintArea" localSheetId="18" hidden="1">'Fat-Client Software Acquisition'!$A$1:$I$33</definedName>
    <definedName name="Z_0FC8EAE0_4F06_11D3_87B6_9C8233D9FA04_.wvu.PrintArea" localSheetId="23" hidden="1">'Fat-Hardware Procurement'!$A$1:$I$83</definedName>
    <definedName name="Z_0FC8EAE0_4F06_11D3_87B6_9C8233D9FA04_.wvu.PrintArea" localSheetId="27" hidden="1">'Fat-Loss of Productivity'!$A$1:$I$33</definedName>
    <definedName name="Z_0FC8EAE0_4F06_11D3_87B6_9C8233D9FA04_.wvu.PrintArea" localSheetId="26" hidden="1">'Fat-Server Operations'!$A$1:$G$19</definedName>
    <definedName name="Z_0FC8EAE0_4F06_11D3_87B6_9C8233D9FA04_.wvu.PrintArea" localSheetId="19" hidden="1">'Fat-Server Software Acquisition'!$A$1:$I$35</definedName>
    <definedName name="Z_0FC8EAE0_4F06_11D3_87B6_9C8233D9FA04_.wvu.PrintArea" localSheetId="0" hidden="1">'Front End'!$A$1:$H$62</definedName>
    <definedName name="Z_0FC8EAE0_4F06_11D3_87B6_9C8233D9FA04_.wvu.PrintArea" localSheetId="10" hidden="1">'Hardware Procurement'!$B$2:$K$75</definedName>
    <definedName name="Z_0FC8EAE0_4F06_11D3_87B6_9C8233D9FA04_.wvu.PrintArea" localSheetId="12" hidden="1">'Loss of Productivity'!$B$2:$K$14</definedName>
    <definedName name="Z_0FC8EAE0_4F06_11D3_87B6_9C8233D9FA04_.wvu.PrintArea" localSheetId="13" hidden="1">'Reports'!$A$1:$F$39</definedName>
    <definedName name="Z_0FC8EAE0_4F06_11D3_87B6_9C8233D9FA04_.wvu.PrintArea" localSheetId="11" hidden="1">'Server Operations'!$B$2:$I$15</definedName>
    <definedName name="Z_0FC8EAE0_4F06_11D3_87B6_9C8233D9FA04_.wvu.PrintArea" localSheetId="5" hidden="1">'Server Software Acquisition'!$B$2:$K$30</definedName>
    <definedName name="Z_0FC8EAE0_4F06_11D3_87B6_9C8233D9FA04_.wvu.PrintArea" localSheetId="15" hidden="1">'Technical Support'!$A$1:$H$21</definedName>
    <definedName name="Z_0FC8EAE0_4F06_11D3_87B6_9C8233D9FA04_.wvu.PrintArea" localSheetId="30" hidden="1">'Thin Application Development'!$A$1:$H$36</definedName>
    <definedName name="Z_0FC8EAE0_4F06_11D3_87B6_9C8233D9FA04_.wvu.PrintArea" localSheetId="34" hidden="1">'Thin Application Installation'!$A$1:$I$20</definedName>
    <definedName name="Z_0FC8EAE0_4F06_11D3_87B6_9C8233D9FA04_.wvu.PrintArea" localSheetId="33" hidden="1">'Thin Application Integration'!$A$1:$I$21</definedName>
    <definedName name="Z_0FC8EAE0_4F06_11D3_87B6_9C8233D9FA04_.wvu.PrintArea" localSheetId="38" hidden="1">'Thin Application Maintenance'!$A$1:$H$25</definedName>
    <definedName name="Z_0FC8EAE0_4F06_11D3_87B6_9C8233D9FA04_.wvu.PrintArea" localSheetId="35" hidden="1">'Thin Application Training'!$A$1:$H$43</definedName>
    <definedName name="Z_0FC8EAE0_4F06_11D3_87B6_9C8233D9FA04_.wvu.PrintArea" localSheetId="29" hidden="1">'Thin Client Base Data '!$A$1:$I$60</definedName>
    <definedName name="Z_0FC8EAE0_4F06_11D3_87B6_9C8233D9FA04_.wvu.PrintArea" localSheetId="41" hidden="1">'Thin Client TOTALS'!$A$1:$H$25</definedName>
    <definedName name="Z_0FC8EAE0_4F06_11D3_87B6_9C8233D9FA04_.wvu.PrintArea" localSheetId="36" hidden="1">'Thin Hardware Procurement'!$A$1:$I$83</definedName>
    <definedName name="Z_0FC8EAE0_4F06_11D3_87B6_9C8233D9FA04_.wvu.PrintArea" localSheetId="40" hidden="1">'Thin Loss of Productivity'!$A$1:$H$33</definedName>
    <definedName name="Z_0FC8EAE0_4F06_11D3_87B6_9C8233D9FA04_.wvu.PrintArea" localSheetId="39" hidden="1">'Thin Server Operations'!$A$1:$G$18</definedName>
    <definedName name="Z_0FC8EAE0_4F06_11D3_87B6_9C8233D9FA04_.wvu.PrintArea" localSheetId="37" hidden="1">'Thin WAN Infrastructure'!$A$1:$H$46</definedName>
    <definedName name="Z_0FC8EAE0_4F06_11D3_87B6_9C8233D9FA04_.wvu.PrintArea" localSheetId="31" hidden="1">'ThinClient Software Acquisition'!$A$1:$J$33</definedName>
    <definedName name="Z_0FC8EAE0_4F06_11D3_87B6_9C8233D9FA04_.wvu.PrintArea" localSheetId="32" hidden="1">'ThinServer Software Acquisition'!$A$1:$I$36</definedName>
  </definedNames>
  <calcPr fullCalcOnLoad="1"/>
</workbook>
</file>

<file path=xl/comments1.xml><?xml version="1.0" encoding="utf-8"?>
<comments xmlns="http://schemas.openxmlformats.org/spreadsheetml/2006/main">
  <authors>
    <author>citrix</author>
  </authors>
  <commentList>
    <comment ref="B3" authorId="0">
      <text>
        <r>
          <rPr>
            <b/>
            <sz val="8"/>
            <rFont val="Tahoma"/>
            <family val="0"/>
          </rPr>
          <t>Enter, in the appropriate cells, the number of employees using the target application and working in the specified locations and/or IT departments.</t>
        </r>
      </text>
    </comment>
    <comment ref="B17" authorId="0">
      <text>
        <r>
          <rPr>
            <b/>
            <sz val="8"/>
            <rFont val="Tahoma"/>
            <family val="0"/>
          </rPr>
          <t xml:space="preserve">Enter, in the appropriate cell, the one-time application licensing fee per client if applicable. </t>
        </r>
        <r>
          <rPr>
            <sz val="8"/>
            <rFont val="Tahoma"/>
            <family val="0"/>
          </rPr>
          <t xml:space="preserve">
</t>
        </r>
      </text>
    </comment>
    <comment ref="B19" authorId="0">
      <text>
        <r>
          <rPr>
            <b/>
            <sz val="8"/>
            <rFont val="Tahoma"/>
            <family val="0"/>
          </rPr>
          <t xml:space="preserve">Enter, in the appropriate cells, the percentage of existing workstations that are deployed using an application-server/thin-client approach (such as Web-based applications or network computer hardware devices) and the percentage of existing workstations that are deployed using a Citrix ICA approach (utilizing Citrix ICA client software).  </t>
        </r>
      </text>
    </comment>
    <comment ref="B23" authorId="0">
      <text>
        <r>
          <rPr>
            <b/>
            <sz val="8"/>
            <rFont val="Tahoma"/>
            <family val="0"/>
          </rPr>
          <t>Enter, in the appropriate cells, the average number of applications utilized by a typical client.</t>
        </r>
        <r>
          <rPr>
            <sz val="8"/>
            <rFont val="Tahoma"/>
            <family val="0"/>
          </rPr>
          <t xml:space="preserve">
</t>
        </r>
      </text>
    </comment>
    <comment ref="B25" authorId="0">
      <text>
        <r>
          <rPr>
            <b/>
            <sz val="8"/>
            <rFont val="Tahoma"/>
            <family val="0"/>
          </rPr>
          <t xml:space="preserve">Specify whether the configuration, distribution or management of the application is automated using tools such as Microsoft SMS or Intel LANDesk.  </t>
        </r>
      </text>
    </comment>
    <comment ref="B31" authorId="0">
      <text>
        <r>
          <rPr>
            <b/>
            <sz val="8"/>
            <rFont val="Tahoma"/>
            <family val="0"/>
          </rPr>
          <t>Physical location of the data: The location of stored data can also determine the speed at which information is available, as well as the cost associated with protecting and backing up valuable corporate data.</t>
        </r>
        <r>
          <rPr>
            <sz val="8"/>
            <rFont val="Tahoma"/>
            <family val="0"/>
          </rPr>
          <t xml:space="preserve">
</t>
        </r>
      </text>
    </comment>
    <comment ref="B27" authorId="0">
      <text>
        <r>
          <rPr>
            <b/>
            <sz val="8"/>
            <rFont val="Tahoma"/>
            <family val="0"/>
          </rPr>
          <t xml:space="preserve">Physical location of the application: The choice of where an application is stored — on the server or on the client — is a determining factor in the cost and complexity of deploying and managing an application over time.  </t>
        </r>
        <r>
          <rPr>
            <sz val="8"/>
            <rFont val="Tahoma"/>
            <family val="0"/>
          </rPr>
          <t xml:space="preserve">
</t>
        </r>
      </text>
    </comment>
    <comment ref="B29" authorId="0">
      <text>
        <r>
          <rPr>
            <b/>
            <sz val="8"/>
            <rFont val="Tahoma"/>
            <family val="0"/>
          </rPr>
          <t xml:space="preserve">Execution location of the application: The choice of where an application actually runs — whether on the server, on the client or on some distributed combination — determines the hardware, network and connectivity required to access the application. </t>
        </r>
        <r>
          <rPr>
            <sz val="8"/>
            <rFont val="Tahoma"/>
            <family val="0"/>
          </rPr>
          <t xml:space="preserve">
</t>
        </r>
      </text>
    </comment>
    <comment ref="B35" authorId="0">
      <text>
        <r>
          <rPr>
            <b/>
            <sz val="8"/>
            <rFont val="Tahoma"/>
            <family val="0"/>
          </rPr>
          <t xml:space="preserve">Enter, in the appropriate cells, the percentage that best represents the average usage capacity across your company’s backbone and access WAN router/switches and circuits.  </t>
        </r>
        <r>
          <rPr>
            <sz val="8"/>
            <rFont val="Tahoma"/>
            <family val="0"/>
          </rPr>
          <t xml:space="preserve">
</t>
        </r>
      </text>
    </comment>
    <comment ref="B47" authorId="0">
      <text>
        <r>
          <rPr>
            <b/>
            <sz val="8"/>
            <rFont val="Tahoma"/>
            <family val="0"/>
          </rPr>
          <t>Enter, in the appropriate cells, the total number and type of backbone WAN routers, access WAN routers and WAN circuits.  Backbone routers are classified as those routing devices that forward traffic over the corporate wide area backbone. Access routers reside in branch and field offices and act as feeders from those remote sites to backbone routers.</t>
        </r>
        <r>
          <rPr>
            <sz val="8"/>
            <rFont val="Tahoma"/>
            <family val="0"/>
          </rPr>
          <t xml:space="preserve">
</t>
        </r>
      </text>
    </comment>
    <comment ref="B53" authorId="0">
      <text>
        <r>
          <rPr>
            <b/>
            <sz val="8"/>
            <rFont val="Tahoma"/>
            <family val="0"/>
          </rPr>
          <t>Identify, in the accompanying cell, the home-user remote network access type: analog modem, cable modem or ISDN modem.</t>
        </r>
        <r>
          <rPr>
            <sz val="8"/>
            <rFont val="Tahoma"/>
            <family val="0"/>
          </rPr>
          <t xml:space="preserve">
</t>
        </r>
      </text>
    </comment>
    <comment ref="D55" authorId="0">
      <text>
        <r>
          <rPr>
            <b/>
            <sz val="8"/>
            <rFont val="Tahoma"/>
            <family val="0"/>
          </rPr>
          <t xml:space="preserve">After you have entered all of the required information, press the “Calculate Totals” button to generate a quick comparison of TCA.  Use the drop-down menu and “Print Report” button to generate reports.  </t>
        </r>
        <r>
          <rPr>
            <sz val="8"/>
            <rFont val="Tahoma"/>
            <family val="0"/>
          </rPr>
          <t xml:space="preserve">
</t>
        </r>
      </text>
    </comment>
  </commentList>
</comments>
</file>

<file path=xl/comments2.xml><?xml version="1.0" encoding="utf-8"?>
<comments xmlns="http://schemas.openxmlformats.org/spreadsheetml/2006/main">
  <authors>
    <author>citrix</author>
  </authors>
  <commentList>
    <comment ref="B3" authorId="0">
      <text>
        <r>
          <rPr>
            <b/>
            <sz val="8"/>
            <rFont val="Tahoma"/>
            <family val="0"/>
          </rPr>
          <t>Identify, in the appropriate cells, the actual annual costs of support contracts and one-time cost of the diagnostic, monitoring and management tools specified.</t>
        </r>
        <r>
          <rPr>
            <sz val="8"/>
            <rFont val="Tahoma"/>
            <family val="0"/>
          </rPr>
          <t xml:space="preserve">
</t>
        </r>
      </text>
    </comment>
    <comment ref="C23" authorId="0">
      <text>
        <r>
          <rPr>
            <b/>
            <sz val="8"/>
            <rFont val="Tahoma"/>
            <family val="0"/>
          </rPr>
          <t>In the cell entitled, “Load Rate” enter the overhead burden rate (percentage of employee salaries) spent to pay for benefits and other non-salary expenses such as health insurance and 401K plans.</t>
        </r>
      </text>
    </comment>
    <comment ref="B25" authorId="0">
      <text>
        <r>
          <rPr>
            <b/>
            <sz val="8"/>
            <rFont val="Tahoma"/>
            <family val="0"/>
          </rPr>
          <t>Enter, in the appropriate cells, the average cost per unit your company spends on a WAN backbone router and a WAN access router.</t>
        </r>
        <r>
          <rPr>
            <sz val="8"/>
            <rFont val="Tahoma"/>
            <family val="0"/>
          </rPr>
          <t xml:space="preserve">
</t>
        </r>
      </text>
    </comment>
    <comment ref="B28" authorId="0">
      <text>
        <r>
          <rPr>
            <b/>
            <sz val="8"/>
            <rFont val="Tahoma"/>
            <family val="0"/>
          </rPr>
          <t xml:space="preserve">Enter, in the appropriate cells, the one-time installation cost and the total monthly recurring costs, including maintenance, service charges, etc., for each of the specified WAN security technologies.  </t>
        </r>
        <r>
          <rPr>
            <sz val="8"/>
            <rFont val="Tahoma"/>
            <family val="0"/>
          </rPr>
          <t xml:space="preserve">
</t>
        </r>
      </text>
    </comment>
    <comment ref="B34" authorId="0">
      <text>
        <r>
          <rPr>
            <b/>
            <sz val="8"/>
            <rFont val="Tahoma"/>
            <family val="0"/>
          </rPr>
          <t>Enter, in the appropriate cells, the one-time installation cost and the recurring monthly service cost for any home-user analog modem, cable modem and/or ISDN modem.</t>
        </r>
        <r>
          <rPr>
            <sz val="8"/>
            <rFont val="Tahoma"/>
            <family val="0"/>
          </rPr>
          <t xml:space="preserve">
</t>
        </r>
      </text>
    </comment>
    <comment ref="B38" authorId="0">
      <text>
        <r>
          <rPr>
            <b/>
            <sz val="8"/>
            <rFont val="Tahoma"/>
            <family val="0"/>
          </rPr>
          <t>Enter, in the appropriate cells, the one-time installation cost and the recurring monthly costs of your branch office ISDN, fractional T1, T1, T3 and OC-3 lines.</t>
        </r>
      </text>
    </comment>
    <comment ref="B44" authorId="0">
      <text>
        <r>
          <rPr>
            <b/>
            <sz val="8"/>
            <rFont val="Tahoma"/>
            <family val="0"/>
          </rPr>
          <t>Enter, in the appropriate cells, the one-time installation cost and recurring monthly costs for frame relay services across the entire company.</t>
        </r>
      </text>
    </comment>
    <comment ref="B45" authorId="0">
      <text>
        <r>
          <rPr>
            <b/>
            <sz val="8"/>
            <rFont val="Tahoma"/>
            <family val="0"/>
          </rPr>
          <t>Enter, in the appropriate cells, the one-time installation cost and the recurring monthly costs of your WAN backbone T1, T3 and OC-3 lines.</t>
        </r>
      </text>
    </comment>
    <comment ref="C50" authorId="0">
      <text>
        <r>
          <rPr>
            <b/>
            <sz val="8"/>
            <rFont val="Tahoma"/>
            <family val="0"/>
          </rPr>
          <t>Enter, in the appropriate cell, the monthly wiring/fiber upgrade costs.</t>
        </r>
        <r>
          <rPr>
            <sz val="8"/>
            <rFont val="Tahoma"/>
            <family val="0"/>
          </rPr>
          <t xml:space="preserve">
</t>
        </r>
      </text>
    </comment>
    <comment ref="C51" authorId="0">
      <text>
        <r>
          <rPr>
            <b/>
            <sz val="8"/>
            <rFont val="Tahoma"/>
            <family val="0"/>
          </rPr>
          <t xml:space="preserve">Enter, in the appropriate cell, the monthly costs of implementing and managing your IP addresses. </t>
        </r>
        <r>
          <rPr>
            <sz val="8"/>
            <rFont val="Tahoma"/>
            <family val="0"/>
          </rPr>
          <t xml:space="preserve">
</t>
        </r>
      </text>
    </comment>
    <comment ref="B10" authorId="0">
      <text>
        <r>
          <rPr>
            <b/>
            <sz val="8"/>
            <rFont val="Tahoma"/>
            <family val="0"/>
          </rPr>
          <t xml:space="preserve">Enter the number of employees in each specified department and their actual average base salaries.  The number of employees already specified in the “front-end,” general TCA worksheet (e.g., number of help desk operators) are carried forward and reflected here. </t>
        </r>
      </text>
    </comment>
  </commentList>
</comments>
</file>

<file path=xl/comments3.xml><?xml version="1.0" encoding="utf-8"?>
<comments xmlns="http://schemas.openxmlformats.org/spreadsheetml/2006/main">
  <authors>
    <author>citrix</author>
  </authors>
  <commentList>
    <comment ref="B3" authorId="0">
      <text>
        <r>
          <rPr>
            <b/>
            <sz val="8"/>
            <rFont val="Tahoma"/>
            <family val="0"/>
          </rPr>
          <t>Enter, in the appropriate cells the number of clients, laptops and servers that need to be replaced, upgraded or purchased to support the target application.</t>
        </r>
        <r>
          <rPr>
            <sz val="8"/>
            <rFont val="Tahoma"/>
            <family val="0"/>
          </rPr>
          <t xml:space="preserve">
</t>
        </r>
      </text>
    </comment>
    <comment ref="C10" authorId="0">
      <text>
        <r>
          <rPr>
            <b/>
            <sz val="8"/>
            <rFont val="Tahoma"/>
            <family val="0"/>
          </rPr>
          <t>Enter the average upgrade cost per client and per server.</t>
        </r>
        <r>
          <rPr>
            <sz val="8"/>
            <rFont val="Tahoma"/>
            <family val="0"/>
          </rPr>
          <t xml:space="preserve">
</t>
        </r>
      </text>
    </comment>
    <comment ref="C14" authorId="0">
      <text>
        <r>
          <rPr>
            <b/>
            <sz val="8"/>
            <rFont val="Tahoma"/>
            <family val="0"/>
          </rPr>
          <t>Enter,  in the appropriate cell, the average cost of external programmer development per hour.</t>
        </r>
        <r>
          <rPr>
            <sz val="8"/>
            <rFont val="Tahoma"/>
            <family val="0"/>
          </rPr>
          <t xml:space="preserve">
</t>
        </r>
      </text>
    </comment>
    <comment ref="C15" authorId="0">
      <text>
        <r>
          <rPr>
            <b/>
            <sz val="8"/>
            <rFont val="Tahoma"/>
            <family val="0"/>
          </rPr>
          <t>Enter, in the appropriate cells, the average number of hours required for internal development including analysis, programming, testing and integration.</t>
        </r>
        <r>
          <rPr>
            <sz val="8"/>
            <rFont val="Tahoma"/>
            <family val="0"/>
          </rPr>
          <t xml:space="preserve">
</t>
        </r>
      </text>
    </comment>
    <comment ref="C20" authorId="0">
      <text>
        <r>
          <rPr>
            <b/>
            <sz val="8"/>
            <rFont val="Tahoma"/>
            <family val="0"/>
          </rPr>
          <t>Enter, in the appropriate cells, the average number of hours required for external development including analysis, programming, systesm testing and integration.</t>
        </r>
      </text>
    </comment>
    <comment ref="C26" authorId="0">
      <text>
        <r>
          <rPr>
            <b/>
            <sz val="8"/>
            <rFont val="Tahoma"/>
            <family val="0"/>
          </rPr>
          <t>Enter, in the appropriate cells, the total cost of producing the specified types of documentation for use with your targeted application.</t>
        </r>
        <r>
          <rPr>
            <sz val="8"/>
            <rFont val="Tahoma"/>
            <family val="0"/>
          </rPr>
          <t xml:space="preserve">
</t>
        </r>
      </text>
    </comment>
  </commentList>
</comments>
</file>

<file path=xl/comments6.xml><?xml version="1.0" encoding="utf-8"?>
<comments xmlns="http://schemas.openxmlformats.org/spreadsheetml/2006/main">
  <authors>
    <author>SicolaMartin</author>
  </authors>
  <commentList>
    <comment ref="E8" authorId="0">
      <text>
        <r>
          <rPr>
            <b/>
            <sz val="8"/>
            <rFont val="Tahoma"/>
            <family val="2"/>
          </rPr>
          <t>The base cost and number of server licenses required for Windows NT Server or Windows NT Terminal Server Edition</t>
        </r>
      </text>
    </comment>
    <comment ref="E27" authorId="0">
      <text>
        <r>
          <rPr>
            <b/>
            <sz val="8"/>
            <rFont val="Tahoma"/>
            <family val="2"/>
          </rPr>
          <t xml:space="preserve">Citrix MetaFrame Solution includes the cost of
1. Base Citrix MetaFrame server ($5,995 for 15 users)
2. Addition MetaFrame user licenses (50 users @ $200)
3. Windows NT Terminal Server Client Access Licenses (65 users @ $109)
Total cost $23,080 per MetaFrame server, supporting an average of 65 concurrent users.
</t>
        </r>
      </text>
    </comment>
  </commentList>
</comments>
</file>

<file path=xl/sharedStrings.xml><?xml version="1.0" encoding="utf-8"?>
<sst xmlns="http://schemas.openxmlformats.org/spreadsheetml/2006/main" count="1782" uniqueCount="628">
  <si>
    <t>Number of Employees</t>
  </si>
  <si>
    <t xml:space="preserve"> </t>
  </si>
  <si>
    <t>Number of Server Support Staff</t>
  </si>
  <si>
    <t>Number of Network Support Staff</t>
  </si>
  <si>
    <t>Application Physical Location</t>
  </si>
  <si>
    <t>Application Execution Location</t>
  </si>
  <si>
    <t>User Location</t>
  </si>
  <si>
    <t>Citrix</t>
  </si>
  <si>
    <t>Application</t>
  </si>
  <si>
    <t>Network Speed</t>
  </si>
  <si>
    <t>WAN Speed</t>
  </si>
  <si>
    <t>1000Mbit/s Ethernet</t>
  </si>
  <si>
    <t>Server</t>
  </si>
  <si>
    <t>100Mbit/s  Switched Ethernet</t>
  </si>
  <si>
    <t>T1</t>
  </si>
  <si>
    <t>100Mbit/s  Sharded Ethernet</t>
  </si>
  <si>
    <t>10Mbit/s Switched Ethernet</t>
  </si>
  <si>
    <t>Cable Modem</t>
  </si>
  <si>
    <t>Local</t>
  </si>
  <si>
    <t>10Mbit/s Sharded Ethernet</t>
  </si>
  <si>
    <t>ISDN</t>
  </si>
  <si>
    <t>Remote</t>
  </si>
  <si>
    <t>16Mbit/s Token Ring</t>
  </si>
  <si>
    <t>4Mbit/s Token Ring</t>
  </si>
  <si>
    <t>Work Week</t>
  </si>
  <si>
    <t>Other</t>
  </si>
  <si>
    <t>Loaded Hourly Rate</t>
  </si>
  <si>
    <t>Firewall/Security Planning</t>
  </si>
  <si>
    <t>Help Desk Operator</t>
  </si>
  <si>
    <t>Help Desk Manager</t>
  </si>
  <si>
    <t>System Architects</t>
  </si>
  <si>
    <t xml:space="preserve">LAN Administrator </t>
  </si>
  <si>
    <t>Network Architects</t>
  </si>
  <si>
    <t>Network Administrator</t>
  </si>
  <si>
    <t>Other Tech Support</t>
  </si>
  <si>
    <t>Load Rate</t>
  </si>
  <si>
    <t>Per Year</t>
  </si>
  <si>
    <t>Per Loaded Hour</t>
  </si>
  <si>
    <t>End User Average Salary</t>
  </si>
  <si>
    <t>Avg. Length of call in Minuets</t>
  </si>
  <si>
    <t>Technical Support Cost per Year</t>
  </si>
  <si>
    <t>Total</t>
  </si>
  <si>
    <t>Avg. Loaded Cost of Server Support Staff</t>
  </si>
  <si>
    <t>Application Development</t>
  </si>
  <si>
    <t>Technical Support</t>
  </si>
  <si>
    <t xml:space="preserve">Client </t>
  </si>
  <si>
    <t>Network</t>
  </si>
  <si>
    <t>Employee Types (Avg. Base Salary of Employee)</t>
  </si>
  <si>
    <t>Admin/Clerical</t>
  </si>
  <si>
    <t>Executive</t>
  </si>
  <si>
    <t>In Hours</t>
  </si>
  <si>
    <t>Analysis</t>
  </si>
  <si>
    <t>Development</t>
  </si>
  <si>
    <t>System Testing</t>
  </si>
  <si>
    <t>Integration</t>
  </si>
  <si>
    <t>Programmer</t>
  </si>
  <si>
    <t>IT/Operations</t>
  </si>
  <si>
    <t>End-User</t>
  </si>
  <si>
    <t>Support</t>
  </si>
  <si>
    <t>Help Desk</t>
  </si>
  <si>
    <t>Development Total</t>
  </si>
  <si>
    <t>Client Software Acquisition</t>
  </si>
  <si>
    <t>Windows NT Workstation</t>
  </si>
  <si>
    <t>Windows 95/98</t>
  </si>
  <si>
    <t>DOS</t>
  </si>
  <si>
    <t>UNIX</t>
  </si>
  <si>
    <t>MAC OS</t>
  </si>
  <si>
    <t>OS/2 Warp</t>
  </si>
  <si>
    <t>Anti-Virus Software</t>
  </si>
  <si>
    <t>Desktop Management Client</t>
  </si>
  <si>
    <t>Host Access</t>
  </si>
  <si>
    <t>X Servers</t>
  </si>
  <si>
    <t>Web Browser</t>
  </si>
  <si>
    <t>Client Software Acquisition Total</t>
  </si>
  <si>
    <t>Server Software Acquisition</t>
  </si>
  <si>
    <t>Windows NT Server</t>
  </si>
  <si>
    <t>Novell</t>
  </si>
  <si>
    <t>MAC OS Server</t>
  </si>
  <si>
    <t>OS/2</t>
  </si>
  <si>
    <t>Backup Software</t>
  </si>
  <si>
    <t>SMTP Service</t>
  </si>
  <si>
    <t>Host Access Gateway</t>
  </si>
  <si>
    <t>Desktop Management</t>
  </si>
  <si>
    <t>Web Servers</t>
  </si>
  <si>
    <t>Database Server</t>
  </si>
  <si>
    <t xml:space="preserve"> Server Software Acquisition Total</t>
  </si>
  <si>
    <t>Protocol Testing</t>
  </si>
  <si>
    <t>Operating System Testing</t>
  </si>
  <si>
    <t>Database Testing</t>
  </si>
  <si>
    <t>Network Operating System Testing</t>
  </si>
  <si>
    <t>Language</t>
  </si>
  <si>
    <t>Compiler</t>
  </si>
  <si>
    <t>API</t>
  </si>
  <si>
    <t>Others</t>
  </si>
  <si>
    <t>Integration Total</t>
  </si>
  <si>
    <t>Wage</t>
  </si>
  <si>
    <t>Expense</t>
  </si>
  <si>
    <t>Delay</t>
  </si>
  <si>
    <t>Application Installation</t>
  </si>
  <si>
    <t>Application Training</t>
  </si>
  <si>
    <t>Hardware Procurement</t>
  </si>
  <si>
    <t>Number of Units</t>
  </si>
  <si>
    <t>Disk(s)</t>
  </si>
  <si>
    <t>Memory</t>
  </si>
  <si>
    <t>CPU</t>
  </si>
  <si>
    <t>Raid Controller</t>
  </si>
  <si>
    <t>Cooling Fans</t>
  </si>
  <si>
    <t>Desktop High End User</t>
  </si>
  <si>
    <t>Desktop Mid Range</t>
  </si>
  <si>
    <t>Desktop Low End</t>
  </si>
  <si>
    <t>Notebook Standard</t>
  </si>
  <si>
    <t>Docking Station</t>
  </si>
  <si>
    <t>Notebook High End</t>
  </si>
  <si>
    <t>High End Network</t>
  </si>
  <si>
    <t>Mid Range Network</t>
  </si>
  <si>
    <t>Color Network</t>
  </si>
  <si>
    <t>High End Personal</t>
  </si>
  <si>
    <t>Mid Range Personal</t>
  </si>
  <si>
    <t>Low End Personal</t>
  </si>
  <si>
    <t>Personal Color</t>
  </si>
  <si>
    <t>Fax/Copier/Scanner</t>
  </si>
  <si>
    <t>Hardware Acquisition Total</t>
  </si>
  <si>
    <t>Firewall</t>
  </si>
  <si>
    <t>ISP Charges</t>
  </si>
  <si>
    <t>VPN</t>
  </si>
  <si>
    <t>NOS</t>
  </si>
  <si>
    <t>Cable</t>
  </si>
  <si>
    <t>Application Maintenance</t>
  </si>
  <si>
    <t>Upgrade</t>
  </si>
  <si>
    <t>Automated</t>
  </si>
  <si>
    <t>Manual</t>
  </si>
  <si>
    <t>Verification</t>
  </si>
  <si>
    <t>Server Operations</t>
  </si>
  <si>
    <t>Internal</t>
  </si>
  <si>
    <t>External</t>
  </si>
  <si>
    <t>Server Operations Total</t>
  </si>
  <si>
    <t>Vendor Support Contracts</t>
  </si>
  <si>
    <t>Diagnostic Tools</t>
  </si>
  <si>
    <t>Monitoring Tools</t>
  </si>
  <si>
    <t>Management Tools</t>
  </si>
  <si>
    <t>Support Total</t>
  </si>
  <si>
    <t>Loss of Productivity</t>
  </si>
  <si>
    <t>Cost of Lost Productivity</t>
  </si>
  <si>
    <t>Loss of Productivity Total</t>
  </si>
  <si>
    <t>HVAC</t>
  </si>
  <si>
    <t>Power</t>
  </si>
  <si>
    <t>Real Estate</t>
  </si>
  <si>
    <t>Infrastructure Total</t>
  </si>
  <si>
    <t>INITIAL COSTS</t>
  </si>
  <si>
    <t>Application Integration</t>
  </si>
  <si>
    <t>INITIAL COSTS TOTAL</t>
  </si>
  <si>
    <t>RECURRING COSTS</t>
  </si>
  <si>
    <t>Building Infrastructure</t>
  </si>
  <si>
    <t>RECURRING COSTS TOTAL</t>
  </si>
  <si>
    <t>Load Cost</t>
  </si>
  <si>
    <t>Server Hardware &amp; Support</t>
  </si>
  <si>
    <t>Hours in a Work Week</t>
  </si>
  <si>
    <r>
      <t>Base Salary/</t>
    </r>
    <r>
      <rPr>
        <i/>
        <sz val="8"/>
        <rFont val="Arial"/>
        <family val="2"/>
      </rPr>
      <t>per hour</t>
    </r>
  </si>
  <si>
    <t>Print Ops</t>
  </si>
  <si>
    <t>Print Overview</t>
  </si>
  <si>
    <t>Installation Cost</t>
  </si>
  <si>
    <t>Monthly Costs</t>
  </si>
  <si>
    <t>Fat</t>
  </si>
  <si>
    <t>Thin</t>
  </si>
  <si>
    <t>In Minutes</t>
  </si>
  <si>
    <t>Avg. Number of Hours Per Month</t>
  </si>
  <si>
    <t>Avg. # of Hours Per Month</t>
  </si>
  <si>
    <t>Loaded Cost of Server Ops</t>
  </si>
  <si>
    <t>Loaded Cost of Tech Support</t>
  </si>
  <si>
    <t>External Support Contracts</t>
  </si>
  <si>
    <t>Loaded Cost of Help Desk</t>
  </si>
  <si>
    <t>Analog Modem</t>
  </si>
  <si>
    <t># of Employees</t>
  </si>
  <si>
    <t>SNMP Manager</t>
  </si>
  <si>
    <t xml:space="preserve">Server Monitor </t>
  </si>
  <si>
    <t>Client  Basic Installation</t>
  </si>
  <si>
    <t>Client Additional Configuration</t>
  </si>
  <si>
    <t>Tuition Per User</t>
  </si>
  <si>
    <t xml:space="preserve"># of Hours Pre User </t>
  </si>
  <si>
    <r>
      <t>Base Salary/</t>
    </r>
    <r>
      <rPr>
        <i/>
        <sz val="8"/>
        <rFont val="Arial"/>
        <family val="2"/>
      </rPr>
      <t>yearly</t>
    </r>
  </si>
  <si>
    <t>Server Monitor</t>
  </si>
  <si>
    <t>Client Basic Installation</t>
  </si>
  <si>
    <t>Client Additional configuration</t>
  </si>
  <si>
    <t>Pre Loaded Hour</t>
  </si>
  <si>
    <t>Home User Remote Network Access Type</t>
  </si>
  <si>
    <t>T3</t>
  </si>
  <si>
    <t>OC3</t>
  </si>
  <si>
    <t>Client Station</t>
  </si>
  <si>
    <t>Working Hours Per Week</t>
  </si>
  <si>
    <r>
      <t xml:space="preserve">Avg. Loaded Cost of Technical Support Staff </t>
    </r>
    <r>
      <rPr>
        <i/>
        <sz val="8"/>
        <rFont val="Arial"/>
        <family val="2"/>
      </rPr>
      <t>(From Worksheet #1)</t>
    </r>
  </si>
  <si>
    <r>
      <t xml:space="preserve">Avg. Loaded Cost of Network Support Staff </t>
    </r>
    <r>
      <rPr>
        <i/>
        <sz val="8"/>
        <rFont val="Arial"/>
        <family val="2"/>
      </rPr>
      <t>(From Worksheet #1)</t>
    </r>
  </si>
  <si>
    <t>Server Cost per Employee</t>
  </si>
  <si>
    <t>TCA Calculations</t>
  </si>
  <si>
    <t>Working Hours per Week</t>
  </si>
  <si>
    <r>
      <t xml:space="preserve">Avg. Loaded Cost of Server Support Staff </t>
    </r>
    <r>
      <rPr>
        <i/>
        <sz val="8"/>
        <rFont val="Arial"/>
        <family val="2"/>
      </rPr>
      <t>(From Worksheet #1</t>
    </r>
  </si>
  <si>
    <t>Network Personnel &amp; LAN Cost per Employee</t>
  </si>
  <si>
    <t>Network Personnel and LAN Cost per Employee</t>
  </si>
  <si>
    <t>Application Data Location</t>
  </si>
  <si>
    <t>User Location: Reference to the Server</t>
  </si>
  <si>
    <t>Yes</t>
  </si>
  <si>
    <t>No</t>
  </si>
  <si>
    <t>1 TCA Model: Basic Data</t>
  </si>
  <si>
    <t>Cost per Client and Total Cost (all Clients)</t>
  </si>
  <si>
    <r>
      <t>Reducible Support Costs is C</t>
    </r>
    <r>
      <rPr>
        <vertAlign val="subscript"/>
        <sz val="10"/>
        <rFont val="Arial"/>
        <family val="2"/>
      </rPr>
      <t>s</t>
    </r>
  </si>
  <si>
    <r>
      <t>C</t>
    </r>
    <r>
      <rPr>
        <vertAlign val="subscript"/>
        <sz val="10"/>
        <rFont val="Arial"/>
        <family val="2"/>
      </rPr>
      <t xml:space="preserve">s </t>
    </r>
    <r>
      <rPr>
        <sz val="10"/>
        <rFont val="Arial"/>
        <family val="2"/>
      </rPr>
      <t>=Total Support Costs * 70%</t>
    </r>
  </si>
  <si>
    <r>
      <t>Fixed Support Costs is C</t>
    </r>
    <r>
      <rPr>
        <vertAlign val="subscript"/>
        <sz val="10"/>
        <rFont val="Arial"/>
        <family val="2"/>
      </rPr>
      <t>u</t>
    </r>
  </si>
  <si>
    <r>
      <t>C</t>
    </r>
    <r>
      <rPr>
        <vertAlign val="subscript"/>
        <sz val="10"/>
        <rFont val="Arial"/>
        <family val="2"/>
      </rPr>
      <t xml:space="preserve">u </t>
    </r>
    <r>
      <rPr>
        <sz val="10"/>
        <rFont val="Arial"/>
        <family val="2"/>
      </rPr>
      <t>=Total Support Costs * 30%</t>
    </r>
  </si>
  <si>
    <r>
      <t>C</t>
    </r>
    <r>
      <rPr>
        <b/>
        <vertAlign val="subscript"/>
        <sz val="10"/>
        <rFont val="Arial"/>
        <family val="2"/>
      </rPr>
      <t>s</t>
    </r>
  </si>
  <si>
    <r>
      <t>C</t>
    </r>
    <r>
      <rPr>
        <b/>
        <vertAlign val="subscript"/>
        <sz val="10"/>
        <rFont val="Arial"/>
        <family val="2"/>
      </rPr>
      <t>u</t>
    </r>
  </si>
  <si>
    <t>Total Clients =</t>
  </si>
  <si>
    <t>Y = Fat Clients</t>
  </si>
  <si>
    <t>x = dumb clients</t>
  </si>
  <si>
    <t>z = thin clients</t>
  </si>
  <si>
    <t>Number of Clients</t>
  </si>
  <si>
    <t>Client Index (in terms of Y)</t>
  </si>
  <si>
    <t>Total of Indexed Clients</t>
  </si>
  <si>
    <t>Adjusted Cost</t>
  </si>
  <si>
    <t>Reducible Cost per Client</t>
  </si>
  <si>
    <t>y (fat)</t>
  </si>
  <si>
    <t>z (thin)</t>
  </si>
  <si>
    <t>x (dumb)</t>
  </si>
  <si>
    <t>Total Cost of Technical Support:</t>
  </si>
  <si>
    <t>1 is Auto</t>
  </si>
  <si>
    <t>Auto Deployment of Applications</t>
  </si>
  <si>
    <t>2 not auto</t>
  </si>
  <si>
    <t>WAN Backbone Router</t>
  </si>
  <si>
    <t>WAN Access Router</t>
  </si>
  <si>
    <t xml:space="preserve">Frame Relay </t>
  </si>
  <si>
    <t>WAN Network Infrastructure</t>
  </si>
  <si>
    <t>1-client, 2-server</t>
  </si>
  <si>
    <t>From Front End</t>
  </si>
  <si>
    <t>1-analog, 2-cable, 3-isdn</t>
  </si>
  <si>
    <t>Access Circuits</t>
  </si>
  <si>
    <t>Backbone Circuits</t>
  </si>
  <si>
    <t>Fractional T1</t>
  </si>
  <si>
    <t>Circuits</t>
  </si>
  <si>
    <t>EightD</t>
  </si>
  <si>
    <t>Citrix-Remote</t>
  </si>
  <si>
    <t>Fat Clients</t>
  </si>
  <si>
    <t>Citrix-Local</t>
  </si>
  <si>
    <t>Thin Client Remote</t>
  </si>
  <si>
    <t>Thin Client Local</t>
  </si>
  <si>
    <t>FTc</t>
  </si>
  <si>
    <t>TCr</t>
  </si>
  <si>
    <t>TCl</t>
  </si>
  <si>
    <t>CXr</t>
  </si>
  <si>
    <t>CXl</t>
  </si>
  <si>
    <t>both local and remote</t>
  </si>
  <si>
    <t>Avg. Base Salary</t>
  </si>
  <si>
    <t>CALCULATING</t>
  </si>
  <si>
    <t>Network Card(s)</t>
  </si>
  <si>
    <t>Tape Backup Driver(s)</t>
  </si>
  <si>
    <t>Redundant Power Supply</t>
  </si>
  <si>
    <t>Cooling Fan(s)</t>
  </si>
  <si>
    <t>Video Card</t>
  </si>
  <si>
    <t xml:space="preserve">Multi Media </t>
  </si>
  <si>
    <t>Desktop System</t>
  </si>
  <si>
    <t>Intruder Detection System</t>
  </si>
  <si>
    <t>Water</t>
  </si>
  <si>
    <t>Sewer</t>
  </si>
  <si>
    <t>Natural Gas / Oil</t>
  </si>
  <si>
    <t>Yearly Cost</t>
  </si>
  <si>
    <t>Avg. # of Calls to Help Desk per Employee per Month</t>
  </si>
  <si>
    <t># of Clients</t>
  </si>
  <si>
    <t>Cost per Client</t>
  </si>
  <si>
    <t>Cost per Unit</t>
  </si>
  <si>
    <r>
      <t xml:space="preserve">Avg. Loaded Cost of Server Support Staff </t>
    </r>
    <r>
      <rPr>
        <i/>
        <sz val="8"/>
        <rFont val="Arial"/>
        <family val="2"/>
      </rPr>
      <t>(From worksheet #1)</t>
    </r>
  </si>
  <si>
    <t>Network Infrastructure Upgrade Total</t>
  </si>
  <si>
    <t>Avg. Cost per Unit</t>
  </si>
  <si>
    <t>Subtotal</t>
  </si>
  <si>
    <t>Mid-Level &amp; Management</t>
  </si>
  <si>
    <t>Number of Employees throughout Company</t>
  </si>
  <si>
    <t>Number of Employees throughout Company (Worksheet #1)</t>
  </si>
  <si>
    <t>Number of employees using application</t>
  </si>
  <si>
    <t>Number of employees working from home</t>
  </si>
  <si>
    <t>Number of help desk employees</t>
  </si>
  <si>
    <t>Number of tech support employees</t>
  </si>
  <si>
    <t>Number of server support staff</t>
  </si>
  <si>
    <t>Number of network support staff</t>
  </si>
  <si>
    <t xml:space="preserve">Average number of applications used by typical user </t>
  </si>
  <si>
    <t>Application physical location</t>
  </si>
  <si>
    <t>Application data location</t>
  </si>
  <si>
    <t>Average usage of backbone WAN router/switches</t>
  </si>
  <si>
    <t>Average usage of access WAN router/switches</t>
  </si>
  <si>
    <t>Average usage of backbone WAN circuits</t>
  </si>
  <si>
    <t>Average usage of access WAN circuits</t>
  </si>
  <si>
    <t>Total number of backbone WAN routers</t>
  </si>
  <si>
    <t>Total number of access WAN routers</t>
  </si>
  <si>
    <t>Total number of WAN circuits</t>
  </si>
  <si>
    <t xml:space="preserve">PC Technical Support. </t>
  </si>
  <si>
    <t>NT/Visual Basic Programmer</t>
  </si>
  <si>
    <t>UNIX / C++ Programmer</t>
  </si>
  <si>
    <t>Citrix Metaframe Server</t>
  </si>
  <si>
    <t>UNIX/C++ Programmer</t>
  </si>
  <si>
    <t>2 TCA Detailed Data</t>
  </si>
  <si>
    <t>Diagnostic tools</t>
  </si>
  <si>
    <t>Monitoring tools</t>
  </si>
  <si>
    <t>Management tools</t>
  </si>
  <si>
    <t>Mobile</t>
  </si>
  <si>
    <t>Number of employees working from laptop in mobile locations</t>
  </si>
  <si>
    <t>1-Local, 2 Remote, 3 Mobile</t>
  </si>
  <si>
    <t>PRINTING</t>
  </si>
  <si>
    <t>Print Overview &amp; Details</t>
  </si>
  <si>
    <t>Citrix ICA Client Model</t>
  </si>
  <si>
    <t>3. TCA Detailed Data 2</t>
  </si>
  <si>
    <t>Hardware Costs</t>
  </si>
  <si>
    <t>What percentage of your workstations are Citrix ICA client model</t>
  </si>
  <si>
    <t>Average cost of external development per hour</t>
  </si>
  <si>
    <t>Internal Development in hours</t>
  </si>
  <si>
    <t>External Development in hours</t>
  </si>
  <si>
    <t>Clients</t>
  </si>
  <si>
    <t>Servers</t>
  </si>
  <si>
    <t># of Servers</t>
  </si>
  <si>
    <t>First year cost per client</t>
  </si>
  <si>
    <t>Total Cost for WAN</t>
  </si>
  <si>
    <t>FAT</t>
  </si>
  <si>
    <t>THIN</t>
  </si>
  <si>
    <t>Two years cost per client</t>
  </si>
  <si>
    <t>Four years cost per client</t>
  </si>
  <si>
    <t># of employees</t>
  </si>
  <si>
    <t>Print Report</t>
  </si>
  <si>
    <t>Print All</t>
  </si>
  <si>
    <t>WAN Net Inf</t>
  </si>
  <si>
    <t>LAN Network Infrastructure</t>
  </si>
  <si>
    <t>LAN Inf</t>
  </si>
  <si>
    <t>Number of existing clients to be replaced to support this application</t>
  </si>
  <si>
    <t>Number of existing clients to be upgraded to support this application</t>
  </si>
  <si>
    <t>The cost per client to upgrade</t>
  </si>
  <si>
    <t>The cost per server to upgrade</t>
  </si>
  <si>
    <t>Number of servers to be purchased to support this application</t>
  </si>
  <si>
    <t>Number of servers to be upgraded to support this application</t>
  </si>
  <si>
    <t>Total Remote Users:</t>
  </si>
  <si>
    <t>Percent of Remote Users:</t>
  </si>
  <si>
    <t>AdjustedED</t>
  </si>
  <si>
    <t>Client</t>
  </si>
  <si>
    <t>Traditional Desktop Client</t>
  </si>
  <si>
    <t>WAN Network Usage</t>
  </si>
  <si>
    <t>6 Technical Support</t>
  </si>
  <si>
    <t>6.1 Help Desk</t>
  </si>
  <si>
    <t>6.2 Technical Support</t>
  </si>
  <si>
    <t>6.3 Support Tools</t>
  </si>
  <si>
    <t>7.1 Worksheet #1 (Average IT Salary Costs)</t>
  </si>
  <si>
    <t>7.2 Worksheet #2 (Application Technical Support)</t>
  </si>
  <si>
    <t>7.3 Worksheet #3 (LAN Usage &amp; Infrastructure)</t>
  </si>
  <si>
    <t>7.4 Worksheet #4 (Server Support Costs)</t>
  </si>
  <si>
    <t>7 TCA Model: Cost Elements</t>
  </si>
  <si>
    <t>7.5 Application Development</t>
  </si>
  <si>
    <t>7.5.1 Avg. Loaded Cost of a Programmer/Analyst</t>
  </si>
  <si>
    <t>7.5.2 Avg. Cost of External Development per Hour</t>
  </si>
  <si>
    <t>7.5.4 External Development</t>
  </si>
  <si>
    <t>7.5.5 Documentation</t>
  </si>
  <si>
    <t>7.5.3 Internal Development</t>
  </si>
  <si>
    <t>7.6 Client Software Acquisition</t>
  </si>
  <si>
    <t>7.6.1 License</t>
  </si>
  <si>
    <t>7.6.1.1 Base OS</t>
  </si>
  <si>
    <t xml:space="preserve">7.6.1.2 System Utilities </t>
  </si>
  <si>
    <t>7.6.1.3 System Applications</t>
  </si>
  <si>
    <t>7.7 Server Software Acquisition</t>
  </si>
  <si>
    <t>7.7.1 License</t>
  </si>
  <si>
    <t>7.7.1.1 Base OS</t>
  </si>
  <si>
    <t xml:space="preserve">7.7.1.2 System Utilities </t>
  </si>
  <si>
    <t>7.7.1.3 System Applications</t>
  </si>
  <si>
    <t>7.8 Application Integration</t>
  </si>
  <si>
    <t>7.9 Application Installation per Client (Roll Out)</t>
  </si>
  <si>
    <t>7.9.1 Software</t>
  </si>
  <si>
    <t>7.9.2 Travel</t>
  </si>
  <si>
    <t>7.10 Application Training</t>
  </si>
  <si>
    <t>7.10.1 Training</t>
  </si>
  <si>
    <t>7.10.2 Salary/Wages during training</t>
  </si>
  <si>
    <t>7.11.4 Printers</t>
  </si>
  <si>
    <t>7.11.5 Upgrade Server Components (If upgrading existing equipment)</t>
  </si>
  <si>
    <t>7.11.6 Upgrade Client Components (If upgrading existing equipment)</t>
  </si>
  <si>
    <t>7.11 Hardware Procurement</t>
  </si>
  <si>
    <t>7.11.1 Server</t>
  </si>
  <si>
    <t>7.11.2 Gateway</t>
  </si>
  <si>
    <t>7.11.3 Client</t>
  </si>
  <si>
    <t xml:space="preserve">7.12 WAN Infrastructure &amp; Usage </t>
  </si>
  <si>
    <t>7.12.1 Components</t>
  </si>
  <si>
    <t>7.12.2 Security</t>
  </si>
  <si>
    <t>7.12.4 WAN / Branch Office Access</t>
  </si>
  <si>
    <t>7.12.5 WAN / Backbone</t>
  </si>
  <si>
    <t>7.12.6 Physical</t>
  </si>
  <si>
    <t>7.12.3 WAN / Home User Access Type</t>
  </si>
  <si>
    <t>7.14 Server Operations</t>
  </si>
  <si>
    <t>7.14.1 Backup &amp; Restore</t>
  </si>
  <si>
    <t>7.14.2 Monitoring</t>
  </si>
  <si>
    <t>7.14.4 Training Per Year</t>
  </si>
  <si>
    <t>7.14.3 Operations</t>
  </si>
  <si>
    <t>7.15 Loss of Productivity Cost</t>
  </si>
  <si>
    <t>7.15.1 Percent Productivity Loss Attributable to each of the following categories</t>
  </si>
  <si>
    <t>7.15.2 Server Non-Availability</t>
  </si>
  <si>
    <t>7.15.4 Client Non-Availability</t>
  </si>
  <si>
    <t>7.15.3 Network Non-Availability</t>
  </si>
  <si>
    <t>7.16 TCA Grand Totals</t>
  </si>
  <si>
    <t>8.3 Worksheet #3 (LAN Usage &amp; Infrastructure)</t>
  </si>
  <si>
    <t>8 TCA Model: Cost Elements</t>
  </si>
  <si>
    <t>8.1 Worksheet #1 (Average IT Salary Costs)</t>
  </si>
  <si>
    <t>8.2 Worksheet #2 (Application Technical Support)</t>
  </si>
  <si>
    <t>8.4 Worksheet #4 (Server Support Costs)</t>
  </si>
  <si>
    <t>8.5 Application Development</t>
  </si>
  <si>
    <t>8.5.1 Avg. Loaded Cost of a Programmer/Analyst</t>
  </si>
  <si>
    <t>8.5.2 Avg. Cost of External Development per Hour</t>
  </si>
  <si>
    <t>8.5.3 Internal Development</t>
  </si>
  <si>
    <t>8.5.5 Documentation</t>
  </si>
  <si>
    <t>8.5.4 External Development</t>
  </si>
  <si>
    <t>8.6 Client Software Acquisition</t>
  </si>
  <si>
    <t>8.6.1 License</t>
  </si>
  <si>
    <t>8.6.1.1 Base OS</t>
  </si>
  <si>
    <t xml:space="preserve">8.6.1.2 System Utilities </t>
  </si>
  <si>
    <t>8.6.1.3 System Applications</t>
  </si>
  <si>
    <t>8.7 Server Software Acquisition</t>
  </si>
  <si>
    <t>8.7.1 License</t>
  </si>
  <si>
    <t>8.7.1.1 Base OS</t>
  </si>
  <si>
    <t xml:space="preserve">8.7.1.2 System Utilities </t>
  </si>
  <si>
    <t>8.7.1.3 System Applications</t>
  </si>
  <si>
    <t>8.8 Application Integration</t>
  </si>
  <si>
    <t>8.9 Application Installation per Client (Roll Out)</t>
  </si>
  <si>
    <t>8.9.1 Software</t>
  </si>
  <si>
    <t>8.9.2 Travel</t>
  </si>
  <si>
    <t>8.10.2 Salary/Wages during training</t>
  </si>
  <si>
    <t>8.10 Application Training</t>
  </si>
  <si>
    <t>8.10.1 Training</t>
  </si>
  <si>
    <t>8.11.5 Upgrade Server Components (If upgrading existing equipment)</t>
  </si>
  <si>
    <t>8.11.6 Upgrade Client Components (If upgrading existing equipment)</t>
  </si>
  <si>
    <t>8.11 Hardware Procurement</t>
  </si>
  <si>
    <t>8.11.1 Server</t>
  </si>
  <si>
    <t>8.11.2 Gateway</t>
  </si>
  <si>
    <t>8.11.3 Client</t>
  </si>
  <si>
    <t>8.11.4 Printers</t>
  </si>
  <si>
    <t xml:space="preserve">8.12 WAN Infrastructure &amp; Usage </t>
  </si>
  <si>
    <t>8.12.1 Components</t>
  </si>
  <si>
    <t>8.12.2 Security</t>
  </si>
  <si>
    <t>8.12.3 WAN / Home User Access Type</t>
  </si>
  <si>
    <t>8.12.5 WAN / Backbone</t>
  </si>
  <si>
    <t>8.12.6 Physical</t>
  </si>
  <si>
    <t>8.12.4 WAN / Branch Office Access</t>
  </si>
  <si>
    <t>8.13 Application Maintenance</t>
  </si>
  <si>
    <t>8.13.1 Labor</t>
  </si>
  <si>
    <t>8.13.2 License</t>
  </si>
  <si>
    <t>8.13.3 User Data Retrieval</t>
  </si>
  <si>
    <t>8.14 Server Operations</t>
  </si>
  <si>
    <t>8.14.1 Backup &amp; Restore</t>
  </si>
  <si>
    <t>8.14.2 Monitoring</t>
  </si>
  <si>
    <t>8.14.3 Operations</t>
  </si>
  <si>
    <t>8.14.4 Training</t>
  </si>
  <si>
    <t>8.15.1 Percent Productivity Loss Attributable to each of the following categories</t>
  </si>
  <si>
    <t>8.15.2 Server Non-Availability</t>
  </si>
  <si>
    <t>8.15.3 Network Non-Availability</t>
  </si>
  <si>
    <t>8.15 Loss of Productivity Cost</t>
  </si>
  <si>
    <t>8.16 TCA Grand Totals</t>
  </si>
  <si>
    <t>9.3 Worksheet #3 (LAN Usage Infrastructure)</t>
  </si>
  <si>
    <t>9.4 Worksheet #4 (Server Support Costs)</t>
  </si>
  <si>
    <t>9 TCA Model: Cost Elements</t>
  </si>
  <si>
    <t>9.1 Worksheet #1 (Average IT Salary Costs)</t>
  </si>
  <si>
    <t>9.2 Worksheet #2 (Application Technical Support)</t>
  </si>
  <si>
    <t>9.5 Application Development</t>
  </si>
  <si>
    <t>9.5.1 Avg. Loaded Cost of a Programmer/Analyst</t>
  </si>
  <si>
    <t>9.5.2 Avg. Cost of External Development per Hour</t>
  </si>
  <si>
    <t>9.5.3 Internal Development</t>
  </si>
  <si>
    <t>9.5.4 External Development</t>
  </si>
  <si>
    <t>9.5.5 Documentation</t>
  </si>
  <si>
    <t>9.6 Client Software Acquisition</t>
  </si>
  <si>
    <t>9.6.1 License</t>
  </si>
  <si>
    <t>9.6.1.1 Base OS</t>
  </si>
  <si>
    <t xml:space="preserve">9.6.1.2 System Utilities </t>
  </si>
  <si>
    <t>9.6.1.3 System Applications</t>
  </si>
  <si>
    <t>9.7 Server Software Acquisition</t>
  </si>
  <si>
    <t>9.7.1 License</t>
  </si>
  <si>
    <t>9.7.1.1 Base OS</t>
  </si>
  <si>
    <t xml:space="preserve">9.7.1.2 System Utilities </t>
  </si>
  <si>
    <t>9.7.1.3 System Applications</t>
  </si>
  <si>
    <t>9.8 Application Integration</t>
  </si>
  <si>
    <t>9.9.2 Travel</t>
  </si>
  <si>
    <t>9.9 Application Installation per Client (Roll Out)</t>
  </si>
  <si>
    <t>9.9.1 Software</t>
  </si>
  <si>
    <t>9.10 Application Training</t>
  </si>
  <si>
    <t>9.10.1 Training</t>
  </si>
  <si>
    <t>9.10.2 Salary/Wages during training</t>
  </si>
  <si>
    <t>9.11.2 Gateway</t>
  </si>
  <si>
    <t>9.11.3 Client</t>
  </si>
  <si>
    <t>9.11.4 Printers</t>
  </si>
  <si>
    <t>9.11.6 Upgrade Client Components (If upgrading existing equipment)</t>
  </si>
  <si>
    <t>9.11 Hardware Procurement</t>
  </si>
  <si>
    <t>9.11.1 Server</t>
  </si>
  <si>
    <t>9.11.5 Upgrade Server Components (If upgrading existing equipment)</t>
  </si>
  <si>
    <t xml:space="preserve">9.12 WAN Infrastructure &amp; Usage </t>
  </si>
  <si>
    <t>9.12.1 Components</t>
  </si>
  <si>
    <t>9.12.2 Security</t>
  </si>
  <si>
    <t>9.12.3 WAN / Home User Access Type</t>
  </si>
  <si>
    <t>9.12.4 WAN / Branch Office Access</t>
  </si>
  <si>
    <t>9.12.5 WAN / Backbone</t>
  </si>
  <si>
    <t>9.12.6 Physical</t>
  </si>
  <si>
    <t>9.13 Application Maintenance</t>
  </si>
  <si>
    <t>9.13.1 Labor</t>
  </si>
  <si>
    <t>9.13.2 License</t>
  </si>
  <si>
    <t>9.13.3 User Data Retrieval</t>
  </si>
  <si>
    <t>9.14.2 Monitoring</t>
  </si>
  <si>
    <t>9.14.3 Operations</t>
  </si>
  <si>
    <t>9.14.4 Training</t>
  </si>
  <si>
    <t>9.14 Server Operations</t>
  </si>
  <si>
    <t>9.14.1 Backup &amp; Restore</t>
  </si>
  <si>
    <t>9.15 Loss of Productivity Cost</t>
  </si>
  <si>
    <t>9.15.1 Percent Productivity Loss Attributable to each of the following categories</t>
  </si>
  <si>
    <t>9.15.2 Server Non-Availability</t>
  </si>
  <si>
    <t>9.15.3 Network Non-Availability</t>
  </si>
  <si>
    <t>9.15.4 Client Non-Availability</t>
  </si>
  <si>
    <t>9.16 TCA Grand Totals</t>
  </si>
  <si>
    <t>10 Building Infrastructure</t>
  </si>
  <si>
    <t>10.1 Security Staff</t>
  </si>
  <si>
    <t>10.2 Environmental</t>
  </si>
  <si>
    <t>Number of existing laptops to be replaced to support this application</t>
  </si>
  <si>
    <t xml:space="preserve">Total Frame Relay Costs </t>
  </si>
  <si>
    <t>Total Frame Relay Cost</t>
  </si>
  <si>
    <t>Application Training Total Per Application</t>
  </si>
  <si>
    <t>Yearly Total</t>
  </si>
  <si>
    <t>7.13 Application Maintenance</t>
  </si>
  <si>
    <t>7.13.1 Labor</t>
  </si>
  <si>
    <t>7.13.2 License</t>
  </si>
  <si>
    <t>7.13.3 User Data Retrieval</t>
  </si>
  <si>
    <t xml:space="preserve">Server Administrator </t>
  </si>
  <si>
    <t>Cost per Server</t>
  </si>
  <si>
    <t>Application Cost Element</t>
  </si>
  <si>
    <t>Customer-Defined Model / Environment</t>
  </si>
  <si>
    <t>Citrix ICA Client Comparison</t>
  </si>
  <si>
    <t>WAN Network Hardware Infrastructure</t>
  </si>
  <si>
    <t>Hardware Replacement cost</t>
  </si>
  <si>
    <t>Traditional Desktop Comparison</t>
  </si>
  <si>
    <t xml:space="preserve">Fat </t>
  </si>
  <si>
    <t>Comparison Percentages</t>
  </si>
  <si>
    <t>Total for Detailes reports</t>
  </si>
  <si>
    <t>Application Deployment Model By Client</t>
  </si>
  <si>
    <t>Application Deployment Model Totals</t>
  </si>
  <si>
    <t>IP Address Implementation &amp; Management Costs</t>
  </si>
  <si>
    <t>Customer Defined Model</t>
  </si>
  <si>
    <t>Traditional Desktop Model</t>
  </si>
  <si>
    <t>Citrix ICA Model</t>
  </si>
  <si>
    <t xml:space="preserve">Hourly Average </t>
  </si>
  <si>
    <t>Number of Servers</t>
  </si>
  <si>
    <t>In Dollars</t>
  </si>
  <si>
    <t>4 TCA Model: Cost Elements</t>
  </si>
  <si>
    <t>4.1 Average IT Salary Costs</t>
  </si>
  <si>
    <t>4.2 Application Technical Support</t>
  </si>
  <si>
    <t>4.3.1.1 Base OS</t>
  </si>
  <si>
    <t xml:space="preserve">4.3.1.2 System Utilities </t>
  </si>
  <si>
    <t>4.3.1.3 System Applications</t>
  </si>
  <si>
    <t>4.5.1.1 Base OS</t>
  </si>
  <si>
    <t xml:space="preserve">4.5.1.2 System Utilities </t>
  </si>
  <si>
    <t>4.5.1.3 System Applications</t>
  </si>
  <si>
    <t>Travel Time</t>
  </si>
  <si>
    <t>Unplanned Delay</t>
  </si>
  <si>
    <t>4.9.1 New Servers</t>
  </si>
  <si>
    <t>4.9.2 New Gateways</t>
  </si>
  <si>
    <t>4.9.3 New Clients</t>
  </si>
  <si>
    <t>4.9.4 New Printers</t>
  </si>
  <si>
    <t>4.10.1 Labor</t>
  </si>
  <si>
    <t>4.10.2 License</t>
  </si>
  <si>
    <t>4.10.3 User Data Retrieval</t>
  </si>
  <si>
    <t>4.11.2 Monitoring</t>
  </si>
  <si>
    <t>4.11.3 Operations</t>
  </si>
  <si>
    <t>4.12 Loss of Productivity Cost</t>
  </si>
  <si>
    <t>Initial Cost Totals</t>
  </si>
  <si>
    <t>Recurring Cost Totals</t>
  </si>
  <si>
    <t>Replacement Cost Totals</t>
  </si>
  <si>
    <t xml:space="preserve">Number of Hours Per User </t>
  </si>
  <si>
    <t>First year total cost</t>
  </si>
  <si>
    <t>Two years total cost</t>
  </si>
  <si>
    <t>Four years total cost</t>
  </si>
  <si>
    <t>Wages During Training Per User</t>
  </si>
  <si>
    <t>Client/Server Hardware Costs</t>
  </si>
  <si>
    <t>Application Development Costs</t>
  </si>
  <si>
    <t>Citrix MetaFrame Solution</t>
  </si>
  <si>
    <t>If licensed, enter fee per client (one time cost), otherwise see detailed sheets</t>
  </si>
  <si>
    <t>What percentage of your workstations are application-server/thin-client model</t>
  </si>
  <si>
    <t>Is the application distribution, configuration or management automated</t>
  </si>
  <si>
    <t>Application execution location</t>
  </si>
  <si>
    <t>Number of employees working from a remote branch office</t>
  </si>
  <si>
    <t>Home-user remote network access type</t>
  </si>
  <si>
    <t>Technical Support external support contracts</t>
  </si>
  <si>
    <t>Vendor Support contracts</t>
  </si>
  <si>
    <t>IT Salary Costs</t>
  </si>
  <si>
    <t xml:space="preserve">PC Technical Support </t>
  </si>
  <si>
    <t>WAN Infrastructure and Usage Costs</t>
  </si>
  <si>
    <t>WAN/Backbone Costs</t>
  </si>
  <si>
    <t>Physical Costs</t>
  </si>
  <si>
    <t>Wiring/Fiber Upgrade Costs</t>
  </si>
  <si>
    <t>IP Address Implementation and Management Costs</t>
  </si>
  <si>
    <t>Salary/Wages and Tutition</t>
  </si>
  <si>
    <t>Mid-Level and Management</t>
  </si>
  <si>
    <t>RAID Controller</t>
  </si>
  <si>
    <t>Desktop Midrange</t>
  </si>
  <si>
    <t>Midrange Network</t>
  </si>
  <si>
    <t>Midrange Personal</t>
  </si>
  <si>
    <t>4.9.5 Upgrade Server Components (If upgrading existing equipment)*</t>
  </si>
  <si>
    <t>4.9.6 Upgrade Client Components (If upgrading existing equipment)*</t>
  </si>
  <si>
    <t>*Note: If number of units specified is zero in sections 4.9.5 &amp; 4.9.6, values from Detailed Data 2 would be used</t>
  </si>
  <si>
    <t>4.11.1 Backup and Restore</t>
  </si>
  <si>
    <t>4.12.1 Percent productivity loss attributable to each of the following categories</t>
  </si>
  <si>
    <t>RECURRING COST IN YEARS 1 THRU 4</t>
  </si>
  <si>
    <t>REPLACEMENT COSTS IN YEAR 4</t>
  </si>
  <si>
    <t>Total number of employees</t>
  </si>
  <si>
    <t># of employees accessing network via a WAN connection</t>
  </si>
  <si>
    <t>Hardware Replacement Cost</t>
  </si>
  <si>
    <t># of employees in accessing network via a WAN connection</t>
  </si>
  <si>
    <t>Customer-Defined Model/Environment</t>
  </si>
  <si>
    <t>Technical Support Costs</t>
  </si>
  <si>
    <t>WAN Security Costs</t>
  </si>
  <si>
    <t>WAN/Home User Access Hardware Costs</t>
  </si>
  <si>
    <t>WAN/Branch Office Communications Costs</t>
  </si>
  <si>
    <t>Total Frame Relay Costs</t>
  </si>
  <si>
    <t>Building Infrastructure Costs</t>
  </si>
  <si>
    <t>Documentation Costs</t>
  </si>
  <si>
    <t>Security Staff Costs</t>
  </si>
  <si>
    <t>Environmental Costs</t>
  </si>
  <si>
    <t>4.3 Client Software Acquisition Costs</t>
  </si>
  <si>
    <t>4.3.1 Software Licenses</t>
  </si>
  <si>
    <t>4.5 Server Software Acquisition Costs</t>
  </si>
  <si>
    <t>4.5.1 Software Licenses</t>
  </si>
  <si>
    <t>4.6 Application Integration Time</t>
  </si>
  <si>
    <t>4.7.2 Travel Time and Expense</t>
  </si>
  <si>
    <t>4.7.1 Software Roll-Out Time</t>
  </si>
  <si>
    <t>4.7 Application Installation Time and Expense per Client (Roll Out)</t>
  </si>
  <si>
    <t>4.8 Application Training Costs</t>
  </si>
  <si>
    <t>4.10 Application Maintenance Time and Costs</t>
  </si>
  <si>
    <t>4.9 Hardware Procurement Costs</t>
  </si>
  <si>
    <t>4.11 Server Operations Time</t>
  </si>
  <si>
    <t>4.11.4 Training Costs Per Year</t>
  </si>
  <si>
    <t>NT Server/Terminal Server</t>
  </si>
  <si>
    <t>The Development of this calculator was sponsored by Citrix Systems, Inc.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</si>
</sst>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quot;$&quot;* #,##0_);_(&quot;$&quot;* \(#,##0\);_(&quot;$&quot;* &quot;-&quot;??_);_(@_)"/>
    <numFmt numFmtId="167" formatCode="0.0"/>
    <numFmt numFmtId="168" formatCode="&quot;$&quot;#,##0"/>
    <numFmt numFmtId="169" formatCode="&quot;$&quot;#,##0.0"/>
    <numFmt numFmtId="170" formatCode="0.000%"/>
    <numFmt numFmtId="171" formatCode="#,##0.0"/>
    <numFmt numFmtId="172" formatCode="0.000"/>
  </numFmts>
  <fonts count="31">
    <font>
      <sz val="10"/>
      <name val="Arial"/>
      <family val="0"/>
    </font>
    <font>
      <b/>
      <sz val="12"/>
      <name val="Arial"/>
      <family val="2"/>
    </font>
    <font>
      <b/>
      <sz val="10"/>
      <name val="Arial"/>
      <family val="2"/>
    </font>
    <font>
      <sz val="8"/>
      <name val="Tahoma"/>
      <family val="2"/>
    </font>
    <font>
      <i/>
      <sz val="8"/>
      <name val="Arial"/>
      <family val="2"/>
    </font>
    <font>
      <i/>
      <sz val="10"/>
      <name val="Arial"/>
      <family val="2"/>
    </font>
    <font>
      <sz val="12"/>
      <name val="Arial"/>
      <family val="2"/>
    </font>
    <font>
      <b/>
      <i/>
      <sz val="10"/>
      <name val="Arial"/>
      <family val="2"/>
    </font>
    <font>
      <vertAlign val="subscript"/>
      <sz val="10"/>
      <name val="Arial"/>
      <family val="2"/>
    </font>
    <font>
      <b/>
      <vertAlign val="subscript"/>
      <sz val="10"/>
      <name val="Arial"/>
      <family val="2"/>
    </font>
    <font>
      <b/>
      <sz val="11"/>
      <name val="Arial"/>
      <family val="2"/>
    </font>
    <font>
      <b/>
      <sz val="14"/>
      <color indexed="10"/>
      <name val="Arial"/>
      <family val="2"/>
    </font>
    <font>
      <sz val="9"/>
      <name val="Arial"/>
      <family val="2"/>
    </font>
    <font>
      <b/>
      <sz val="9"/>
      <name val="Arial"/>
      <family val="2"/>
    </font>
    <font>
      <sz val="10"/>
      <name val="Courier"/>
      <family val="3"/>
    </font>
    <font>
      <b/>
      <sz val="14"/>
      <color indexed="62"/>
      <name val="Arial"/>
      <family val="2"/>
    </font>
    <font>
      <b/>
      <i/>
      <u val="single"/>
      <sz val="48"/>
      <color indexed="9"/>
      <name val="Arial"/>
      <family val="2"/>
    </font>
    <font>
      <sz val="10"/>
      <color indexed="12"/>
      <name val="Arial"/>
      <family val="2"/>
    </font>
    <font>
      <sz val="10"/>
      <color indexed="43"/>
      <name val="Arial"/>
      <family val="2"/>
    </font>
    <font>
      <b/>
      <sz val="10"/>
      <color indexed="9"/>
      <name val="Arial"/>
      <family val="2"/>
    </font>
    <font>
      <b/>
      <sz val="11"/>
      <color indexed="8"/>
      <name val="Arial"/>
      <family val="2"/>
    </font>
    <font>
      <sz val="11"/>
      <name val="Arial"/>
      <family val="2"/>
    </font>
    <font>
      <sz val="11"/>
      <color indexed="8"/>
      <name val="Arial"/>
      <family val="2"/>
    </font>
    <font>
      <sz val="10"/>
      <color indexed="8"/>
      <name val="Arial"/>
      <family val="2"/>
    </font>
    <font>
      <b/>
      <sz val="10"/>
      <color indexed="43"/>
      <name val="Arial"/>
      <family val="2"/>
    </font>
    <font>
      <i/>
      <sz val="11"/>
      <name val="Arial"/>
      <family val="2"/>
    </font>
    <font>
      <i/>
      <sz val="11"/>
      <color indexed="8"/>
      <name val="Arial"/>
      <family val="2"/>
    </font>
    <font>
      <b/>
      <sz val="14"/>
      <color indexed="17"/>
      <name val="Arial"/>
      <family val="2"/>
    </font>
    <font>
      <b/>
      <sz val="8"/>
      <name val="Tahoma"/>
      <family val="0"/>
    </font>
    <font>
      <sz val="8"/>
      <name val="Arial"/>
      <family val="2"/>
    </font>
    <font>
      <b/>
      <sz val="8"/>
      <name val="Arial"/>
      <family val="2"/>
    </font>
  </fonts>
  <fills count="12">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lightGray">
        <bgColor indexed="22"/>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s>
  <borders count="76">
    <border>
      <left/>
      <right/>
      <top/>
      <bottom/>
      <diagonal/>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style="thin"/>
      <top>
        <color indexed="63"/>
      </top>
      <bottom>
        <color indexed="63"/>
      </bottom>
    </border>
    <border>
      <left style="thin"/>
      <right style="thick"/>
      <top style="thin"/>
      <bottom style="thin"/>
    </border>
    <border>
      <left style="thin"/>
      <right style="thin"/>
      <top style="thin"/>
      <bottom style="thin"/>
    </border>
    <border>
      <left>
        <color indexed="63"/>
      </left>
      <right>
        <color indexed="63"/>
      </right>
      <top>
        <color indexed="63"/>
      </top>
      <bottom style="double"/>
    </border>
    <border>
      <left style="thin"/>
      <right style="thick"/>
      <top>
        <color indexed="63"/>
      </top>
      <bottom style="thin"/>
    </border>
    <border>
      <left style="thin"/>
      <right style="thick"/>
      <top style="thin"/>
      <bottom style="double"/>
    </border>
    <border>
      <left style="thin"/>
      <right style="thick"/>
      <top style="thin"/>
      <bottom>
        <color indexed="63"/>
      </bottom>
    </border>
    <border>
      <left style="thin"/>
      <right style="thick"/>
      <top style="double"/>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double"/>
    </border>
    <border>
      <left>
        <color indexed="63"/>
      </left>
      <right>
        <color indexed="63"/>
      </right>
      <top>
        <color indexed="63"/>
      </top>
      <bottom style="thin"/>
    </border>
    <border>
      <left style="thin"/>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color indexed="63"/>
      </left>
      <right style="thin"/>
      <top style="thick"/>
      <bottom>
        <color indexed="63"/>
      </bottom>
    </border>
    <border>
      <left>
        <color indexed="63"/>
      </left>
      <right style="thick"/>
      <top style="thin"/>
      <bottom style="thin"/>
    </border>
    <border>
      <left>
        <color indexed="63"/>
      </left>
      <right style="thick"/>
      <top style="thin"/>
      <bottom>
        <color indexed="63"/>
      </bottom>
    </border>
    <border>
      <left>
        <color indexed="63"/>
      </left>
      <right>
        <color indexed="63"/>
      </right>
      <top style="thin"/>
      <bottom style="thin"/>
    </border>
    <border>
      <left style="thick"/>
      <right style="medium"/>
      <top style="medium"/>
      <bottom>
        <color indexed="63"/>
      </bottom>
    </border>
    <border>
      <left style="thick"/>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ck"/>
      <top style="medium"/>
      <bottom style="thin"/>
    </border>
    <border>
      <left style="medium"/>
      <right style="thin"/>
      <top style="thin"/>
      <bottom style="thin"/>
    </border>
    <border>
      <left style="thick"/>
      <right>
        <color indexed="63"/>
      </right>
      <top style="medium"/>
      <bottom style="medium"/>
    </border>
    <border>
      <left>
        <color indexed="63"/>
      </left>
      <right style="thin"/>
      <top>
        <color indexed="63"/>
      </top>
      <bottom style="double"/>
    </border>
    <border>
      <left>
        <color indexed="63"/>
      </left>
      <right style="thick"/>
      <top style="thick"/>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right style="medium"/>
      <top>
        <color indexed="63"/>
      </top>
      <bottom style="medium"/>
    </border>
    <border>
      <left>
        <color indexed="63"/>
      </left>
      <right style="medium"/>
      <top>
        <color indexed="63"/>
      </top>
      <bottom style="medium"/>
    </border>
    <border>
      <left style="thin"/>
      <right style="thick"/>
      <top style="thin"/>
      <bottom style="thick"/>
    </border>
    <border>
      <left style="thin"/>
      <right style="thin"/>
      <top style="thin"/>
      <bottom style="medium"/>
    </border>
    <border>
      <left style="thin"/>
      <right style="thick"/>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ck"/>
    </border>
    <border>
      <left style="thin"/>
      <right style="thin"/>
      <top>
        <color indexed="63"/>
      </top>
      <bottom style="double"/>
    </border>
    <border>
      <left style="thin"/>
      <right style="thin"/>
      <top>
        <color indexed="63"/>
      </top>
      <bottom style="thick"/>
    </border>
    <border>
      <left style="thin"/>
      <right style="thin"/>
      <top style="thin"/>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thin"/>
      <right style="thin"/>
      <top style="thick"/>
      <bottom>
        <color indexed="63"/>
      </bottom>
    </border>
    <border>
      <left style="thin"/>
      <right style="thick"/>
      <top style="thick"/>
      <bottom style="thin"/>
    </border>
    <border>
      <left style="thin"/>
      <right>
        <color indexed="63"/>
      </right>
      <top style="thin"/>
      <bottom style="thin"/>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1"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164" fontId="0" fillId="0" borderId="0" xfId="0" applyNumberFormat="1" applyAlignment="1">
      <alignment/>
    </xf>
    <xf numFmtId="164" fontId="2" fillId="0" borderId="0" xfId="0" applyNumberFormat="1" applyFont="1" applyAlignment="1">
      <alignment/>
    </xf>
    <xf numFmtId="0" fontId="2" fillId="0" borderId="0" xfId="0" applyFont="1" applyAlignment="1">
      <alignment/>
    </xf>
    <xf numFmtId="0" fontId="0" fillId="2" borderId="8" xfId="0" applyFill="1" applyBorder="1" applyAlignment="1">
      <alignment/>
    </xf>
    <xf numFmtId="0" fontId="1" fillId="2" borderId="3"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vertical="center"/>
    </xf>
    <xf numFmtId="0" fontId="0" fillId="2" borderId="9" xfId="0" applyFill="1" applyBorder="1" applyAlignment="1">
      <alignment/>
    </xf>
    <xf numFmtId="164" fontId="0" fillId="2" borderId="10" xfId="0" applyNumberFormat="1" applyFill="1" applyBorder="1" applyAlignment="1">
      <alignment/>
    </xf>
    <xf numFmtId="0" fontId="2" fillId="2" borderId="0" xfId="0" applyFont="1" applyFill="1" applyAlignment="1">
      <alignment/>
    </xf>
    <xf numFmtId="164" fontId="0" fillId="2" borderId="11" xfId="0" applyNumberFormat="1" applyFill="1" applyBorder="1" applyAlignment="1">
      <alignment/>
    </xf>
    <xf numFmtId="0" fontId="2" fillId="2" borderId="12" xfId="0" applyFont="1" applyFill="1" applyBorder="1" applyAlignment="1">
      <alignment/>
    </xf>
    <xf numFmtId="0" fontId="0" fillId="2" borderId="12" xfId="0" applyFill="1" applyBorder="1" applyAlignment="1">
      <alignment/>
    </xf>
    <xf numFmtId="164" fontId="0" fillId="2" borderId="13" xfId="0" applyNumberFormat="1" applyFill="1" applyBorder="1" applyAlignment="1">
      <alignment/>
    </xf>
    <xf numFmtId="164" fontId="0" fillId="2" borderId="14" xfId="0" applyNumberFormat="1" applyFill="1" applyBorder="1" applyAlignment="1">
      <alignment/>
    </xf>
    <xf numFmtId="0" fontId="0" fillId="2" borderId="10" xfId="0" applyFill="1" applyBorder="1" applyAlignment="1">
      <alignment/>
    </xf>
    <xf numFmtId="0" fontId="0" fillId="2" borderId="15" xfId="0" applyFill="1" applyBorder="1" applyAlignment="1">
      <alignment/>
    </xf>
    <xf numFmtId="0" fontId="4" fillId="0" borderId="0" xfId="0" applyFont="1" applyAlignment="1">
      <alignment/>
    </xf>
    <xf numFmtId="164" fontId="0" fillId="2" borderId="16" xfId="0" applyNumberFormat="1" applyFill="1" applyBorder="1" applyAlignment="1" applyProtection="1">
      <alignment/>
      <protection hidden="1"/>
    </xf>
    <xf numFmtId="0" fontId="1" fillId="2" borderId="1" xfId="0" applyFont="1" applyFill="1" applyBorder="1" applyAlignment="1">
      <alignment/>
    </xf>
    <xf numFmtId="0" fontId="1" fillId="2" borderId="0" xfId="0" applyFont="1" applyFill="1" applyBorder="1" applyAlignment="1">
      <alignment/>
    </xf>
    <xf numFmtId="164" fontId="0" fillId="2" borderId="0" xfId="0" applyNumberFormat="1" applyFill="1" applyBorder="1" applyAlignment="1">
      <alignment/>
    </xf>
    <xf numFmtId="0" fontId="5" fillId="2" borderId="0" xfId="0" applyFont="1" applyFill="1" applyBorder="1" applyAlignment="1">
      <alignment/>
    </xf>
    <xf numFmtId="0" fontId="0" fillId="2" borderId="0" xfId="0" applyNumberFormat="1" applyFill="1" applyBorder="1" applyAlignment="1">
      <alignment/>
    </xf>
    <xf numFmtId="0" fontId="6" fillId="2" borderId="1" xfId="0" applyFont="1" applyFill="1" applyBorder="1" applyAlignment="1">
      <alignment/>
    </xf>
    <xf numFmtId="164" fontId="0" fillId="2" borderId="12" xfId="0" applyNumberFormat="1" applyFill="1" applyBorder="1" applyAlignment="1">
      <alignment/>
    </xf>
    <xf numFmtId="0" fontId="0" fillId="3" borderId="0" xfId="0" applyFill="1" applyBorder="1" applyAlignment="1">
      <alignment/>
    </xf>
    <xf numFmtId="0" fontId="0" fillId="2" borderId="17" xfId="0" applyFill="1" applyBorder="1" applyAlignment="1">
      <alignment/>
    </xf>
    <xf numFmtId="0" fontId="0" fillId="2" borderId="18" xfId="0" applyFill="1" applyBorder="1" applyAlignment="1">
      <alignment/>
    </xf>
    <xf numFmtId="164" fontId="0" fillId="2" borderId="19" xfId="0" applyNumberFormat="1" applyFill="1" applyBorder="1" applyAlignment="1">
      <alignment/>
    </xf>
    <xf numFmtId="164" fontId="0" fillId="0" borderId="0" xfId="0" applyNumberFormat="1" applyBorder="1" applyAlignment="1">
      <alignment/>
    </xf>
    <xf numFmtId="0" fontId="0" fillId="0" borderId="12" xfId="0" applyBorder="1" applyAlignment="1">
      <alignment/>
    </xf>
    <xf numFmtId="164" fontId="0" fillId="0" borderId="12" xfId="0" applyNumberFormat="1" applyBorder="1" applyAlignment="1">
      <alignment/>
    </xf>
    <xf numFmtId="0" fontId="0" fillId="0" borderId="0" xfId="0" applyBorder="1" applyAlignment="1">
      <alignment/>
    </xf>
    <xf numFmtId="0" fontId="0" fillId="4" borderId="0" xfId="0" applyFill="1" applyBorder="1" applyAlignment="1">
      <alignment/>
    </xf>
    <xf numFmtId="0" fontId="2" fillId="0" borderId="0" xfId="0" applyFont="1" applyBorder="1" applyAlignment="1">
      <alignment/>
    </xf>
    <xf numFmtId="10" fontId="0" fillId="0" borderId="12" xfId="0" applyNumberFormat="1" applyBorder="1" applyAlignment="1">
      <alignment/>
    </xf>
    <xf numFmtId="0" fontId="0" fillId="0" borderId="0" xfId="0" applyNumberFormat="1" applyAlignment="1">
      <alignment/>
    </xf>
    <xf numFmtId="0" fontId="0" fillId="0" borderId="12" xfId="0" applyNumberFormat="1" applyBorder="1" applyAlignment="1">
      <alignment/>
    </xf>
    <xf numFmtId="10" fontId="0" fillId="2" borderId="11" xfId="0" applyNumberFormat="1" applyFill="1" applyBorder="1" applyAlignment="1">
      <alignment/>
    </xf>
    <xf numFmtId="164" fontId="0" fillId="2" borderId="6" xfId="0" applyNumberFormat="1" applyFill="1" applyBorder="1" applyAlignment="1">
      <alignment/>
    </xf>
    <xf numFmtId="0" fontId="0" fillId="2" borderId="0" xfId="0" applyFill="1" applyBorder="1" applyAlignment="1">
      <alignment horizontal="center" vertical="center"/>
    </xf>
    <xf numFmtId="0" fontId="0" fillId="2" borderId="20" xfId="0" applyFill="1" applyBorder="1" applyAlignment="1">
      <alignment/>
    </xf>
    <xf numFmtId="164" fontId="0" fillId="2" borderId="18" xfId="0" applyNumberFormat="1" applyFill="1" applyBorder="1" applyAlignment="1">
      <alignment/>
    </xf>
    <xf numFmtId="2" fontId="0" fillId="0" borderId="0" xfId="0" applyNumberFormat="1" applyAlignment="1">
      <alignment/>
    </xf>
    <xf numFmtId="164" fontId="0" fillId="2" borderId="21" xfId="0" applyNumberFormat="1" applyFill="1" applyBorder="1" applyAlignment="1">
      <alignment/>
    </xf>
    <xf numFmtId="0" fontId="0" fillId="2" borderId="21" xfId="0" applyFill="1" applyBorder="1" applyAlignment="1">
      <alignment/>
    </xf>
    <xf numFmtId="164" fontId="0" fillId="2" borderId="22" xfId="0" applyNumberFormat="1" applyFill="1" applyBorder="1" applyAlignment="1">
      <alignment/>
    </xf>
    <xf numFmtId="0" fontId="2" fillId="2" borderId="3" xfId="0" applyFont="1" applyFill="1" applyBorder="1" applyAlignment="1">
      <alignment/>
    </xf>
    <xf numFmtId="0" fontId="0" fillId="2" borderId="0" xfId="0" applyFont="1" applyFill="1" applyBorder="1" applyAlignment="1">
      <alignment/>
    </xf>
    <xf numFmtId="0" fontId="0" fillId="2" borderId="12" xfId="0" applyFont="1" applyFill="1" applyBorder="1" applyAlignment="1">
      <alignment/>
    </xf>
    <xf numFmtId="0" fontId="0" fillId="2" borderId="23" xfId="0" applyFill="1" applyBorder="1" applyAlignment="1">
      <alignment/>
    </xf>
    <xf numFmtId="0" fontId="0" fillId="2" borderId="24" xfId="0" applyFill="1" applyBorder="1" applyAlignment="1">
      <alignment/>
    </xf>
    <xf numFmtId="164" fontId="0" fillId="2" borderId="24" xfId="0" applyNumberFormat="1" applyFill="1" applyBorder="1" applyAlignment="1">
      <alignment/>
    </xf>
    <xf numFmtId="164" fontId="0" fillId="2" borderId="25" xfId="0" applyNumberFormat="1" applyFill="1" applyBorder="1" applyAlignment="1">
      <alignment/>
    </xf>
    <xf numFmtId="0" fontId="6" fillId="2" borderId="3" xfId="0" applyFont="1" applyFill="1" applyBorder="1" applyAlignment="1">
      <alignment/>
    </xf>
    <xf numFmtId="0" fontId="7" fillId="2" borderId="0" xfId="0" applyFont="1" applyFill="1" applyBorder="1" applyAlignment="1">
      <alignment/>
    </xf>
    <xf numFmtId="10" fontId="0" fillId="0" borderId="12" xfId="0" applyNumberFormat="1" applyBorder="1" applyAlignment="1" quotePrefix="1">
      <alignment/>
    </xf>
    <xf numFmtId="164" fontId="0" fillId="2" borderId="26" xfId="0" applyNumberFormat="1" applyFill="1" applyBorder="1" applyAlignment="1">
      <alignment/>
    </xf>
    <xf numFmtId="164" fontId="0" fillId="2" borderId="2" xfId="0" applyNumberFormat="1" applyFill="1" applyBorder="1" applyAlignment="1">
      <alignment/>
    </xf>
    <xf numFmtId="164" fontId="0" fillId="4" borderId="0" xfId="0" applyNumberFormat="1" applyFill="1" applyBorder="1" applyAlignment="1">
      <alignment/>
    </xf>
    <xf numFmtId="164" fontId="0" fillId="2" borderId="4" xfId="0" applyNumberFormat="1" applyFill="1" applyBorder="1" applyAlignment="1">
      <alignment/>
    </xf>
    <xf numFmtId="164" fontId="0" fillId="2" borderId="27" xfId="0" applyNumberFormat="1" applyFill="1" applyBorder="1" applyAlignment="1">
      <alignment/>
    </xf>
    <xf numFmtId="164" fontId="0" fillId="2" borderId="28" xfId="0" applyNumberFormat="1" applyFill="1" applyBorder="1" applyAlignment="1">
      <alignment/>
    </xf>
    <xf numFmtId="0" fontId="0" fillId="0" borderId="0" xfId="0" applyAlignment="1" applyProtection="1">
      <alignment/>
      <protection hidden="1"/>
    </xf>
    <xf numFmtId="0" fontId="0" fillId="0" borderId="0" xfId="0" applyFill="1" applyBorder="1" applyAlignment="1">
      <alignment/>
    </xf>
    <xf numFmtId="0" fontId="0" fillId="2" borderId="0" xfId="0" applyFont="1" applyFill="1" applyBorder="1" applyAlignment="1">
      <alignment vertical="center"/>
    </xf>
    <xf numFmtId="0" fontId="0" fillId="2" borderId="0" xfId="0" applyFont="1" applyFill="1" applyAlignment="1">
      <alignment/>
    </xf>
    <xf numFmtId="0" fontId="0" fillId="2" borderId="0" xfId="0" applyFill="1" applyAlignment="1">
      <alignment/>
    </xf>
    <xf numFmtId="164" fontId="0" fillId="2" borderId="29" xfId="0" applyNumberFormat="1" applyFill="1" applyBorder="1" applyAlignment="1">
      <alignment/>
    </xf>
    <xf numFmtId="0" fontId="0" fillId="2" borderId="30" xfId="0" applyFill="1" applyBorder="1" applyAlignment="1">
      <alignment/>
    </xf>
    <xf numFmtId="0" fontId="0" fillId="2" borderId="21" xfId="0" applyNumberFormat="1" applyFill="1" applyBorder="1" applyAlignment="1">
      <alignment/>
    </xf>
    <xf numFmtId="0" fontId="0" fillId="0" borderId="31" xfId="0" applyFill="1" applyBorder="1" applyAlignment="1" applyProtection="1">
      <alignment/>
      <protection locked="0"/>
    </xf>
    <xf numFmtId="9" fontId="0" fillId="0" borderId="31" xfId="0" applyNumberFormat="1" applyFill="1" applyBorder="1" applyAlignment="1" applyProtection="1">
      <alignment/>
      <protection locked="0"/>
    </xf>
    <xf numFmtId="1" fontId="0" fillId="0" borderId="31" xfId="0" applyNumberFormat="1" applyFill="1" applyBorder="1" applyAlignment="1" applyProtection="1">
      <alignment/>
      <protection locked="0"/>
    </xf>
    <xf numFmtId="164" fontId="0" fillId="0" borderId="11" xfId="0" applyNumberFormat="1" applyFill="1" applyBorder="1" applyAlignment="1" applyProtection="1">
      <alignment/>
      <protection locked="0"/>
    </xf>
    <xf numFmtId="10" fontId="0" fillId="0" borderId="11" xfId="0" applyNumberFormat="1" applyFill="1"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29" xfId="0" applyFill="1" applyBorder="1" applyAlignment="1" applyProtection="1">
      <alignment/>
      <protection locked="0"/>
    </xf>
    <xf numFmtId="164" fontId="0" fillId="3" borderId="0" xfId="0" applyNumberFormat="1" applyFill="1" applyBorder="1" applyAlignment="1" applyProtection="1">
      <alignment/>
      <protection locked="0"/>
    </xf>
    <xf numFmtId="164" fontId="0" fillId="0" borderId="29" xfId="0" applyNumberFormat="1" applyFill="1" applyBorder="1" applyAlignment="1" applyProtection="1">
      <alignment/>
      <protection locked="0"/>
    </xf>
    <xf numFmtId="0" fontId="0" fillId="5" borderId="11" xfId="0" applyFill="1" applyBorder="1" applyAlignment="1" applyProtection="1">
      <alignment/>
      <protection locked="0"/>
    </xf>
    <xf numFmtId="0" fontId="0" fillId="5" borderId="29" xfId="0" applyFill="1" applyBorder="1" applyAlignment="1" applyProtection="1">
      <alignment/>
      <protection locked="0"/>
    </xf>
    <xf numFmtId="164" fontId="0" fillId="0" borderId="11" xfId="0" applyNumberFormat="1" applyFill="1" applyBorder="1" applyAlignment="1" applyProtection="1">
      <alignment/>
      <protection locked="0"/>
    </xf>
    <xf numFmtId="164" fontId="0" fillId="2" borderId="0" xfId="0" applyNumberFormat="1" applyFill="1" applyBorder="1" applyAlignment="1" applyProtection="1">
      <alignment/>
      <protection locked="0"/>
    </xf>
    <xf numFmtId="164" fontId="0" fillId="2" borderId="4" xfId="0" applyNumberFormat="1" applyFill="1" applyBorder="1" applyAlignment="1" applyProtection="1">
      <alignment/>
      <protection locked="0"/>
    </xf>
    <xf numFmtId="1" fontId="0" fillId="0" borderId="10" xfId="0" applyNumberFormat="1" applyFill="1" applyBorder="1" applyAlignment="1" applyProtection="1">
      <alignment/>
      <protection locked="0"/>
    </xf>
    <xf numFmtId="1" fontId="0" fillId="2" borderId="22" xfId="0" applyNumberFormat="1" applyFill="1" applyBorder="1" applyAlignment="1" applyProtection="1">
      <alignment/>
      <protection locked="0"/>
    </xf>
    <xf numFmtId="0" fontId="0" fillId="0" borderId="32" xfId="0" applyFill="1" applyBorder="1" applyAlignment="1" applyProtection="1">
      <alignment/>
      <protection locked="0"/>
    </xf>
    <xf numFmtId="0" fontId="0" fillId="0" borderId="0" xfId="0" applyAlignment="1">
      <alignment horizontal="right"/>
    </xf>
    <xf numFmtId="0" fontId="0" fillId="2" borderId="0" xfId="0" applyFill="1" applyBorder="1" applyAlignment="1">
      <alignment horizontal="right"/>
    </xf>
    <xf numFmtId="9" fontId="0" fillId="0" borderId="10" xfId="0" applyNumberFormat="1" applyFill="1" applyBorder="1" applyAlignment="1" applyProtection="1">
      <alignment/>
      <protection locked="0"/>
    </xf>
    <xf numFmtId="0" fontId="0" fillId="2" borderId="11" xfId="0" applyFill="1" applyBorder="1" applyAlignment="1" applyProtection="1">
      <alignment/>
      <protection locked="0"/>
    </xf>
    <xf numFmtId="1" fontId="0" fillId="2" borderId="11" xfId="0" applyNumberFormat="1" applyFill="1" applyBorder="1" applyAlignment="1" applyProtection="1">
      <alignment/>
      <protection locked="0"/>
    </xf>
    <xf numFmtId="0" fontId="0" fillId="2" borderId="33" xfId="0" applyFill="1" applyBorder="1" applyAlignment="1">
      <alignment/>
    </xf>
    <xf numFmtId="0" fontId="2" fillId="0" borderId="0" xfId="0" applyFont="1" applyAlignment="1">
      <alignment horizontal="right"/>
    </xf>
    <xf numFmtId="0" fontId="10" fillId="0" borderId="0" xfId="0" applyFont="1" applyAlignment="1">
      <alignment/>
    </xf>
    <xf numFmtId="0" fontId="0" fillId="0" borderId="0" xfId="0" applyAlignment="1">
      <alignment horizontal="center"/>
    </xf>
    <xf numFmtId="9" fontId="0" fillId="0" borderId="0" xfId="0" applyNumberFormat="1" applyAlignment="1">
      <alignment/>
    </xf>
    <xf numFmtId="0" fontId="0" fillId="0" borderId="21" xfId="0" applyBorder="1" applyAlignment="1">
      <alignment/>
    </xf>
    <xf numFmtId="1" fontId="0" fillId="2" borderId="27" xfId="0" applyNumberFormat="1" applyFill="1" applyBorder="1" applyAlignment="1" applyProtection="1">
      <alignment/>
      <protection locked="0"/>
    </xf>
    <xf numFmtId="0" fontId="0" fillId="0" borderId="0" xfId="0" applyFill="1" applyAlignment="1">
      <alignment/>
    </xf>
    <xf numFmtId="0" fontId="0" fillId="0" borderId="34" xfId="0" applyFill="1" applyBorder="1" applyAlignment="1">
      <alignment horizontal="right"/>
    </xf>
    <xf numFmtId="0" fontId="0" fillId="0" borderId="35" xfId="0" applyFill="1" applyBorder="1" applyAlignment="1">
      <alignment horizontal="right"/>
    </xf>
    <xf numFmtId="0" fontId="2" fillId="0" borderId="3" xfId="0" applyFont="1" applyFill="1" applyBorder="1" applyAlignment="1">
      <alignment/>
    </xf>
    <xf numFmtId="0" fontId="0" fillId="2" borderId="36" xfId="0" applyFill="1" applyBorder="1" applyAlignment="1">
      <alignment/>
    </xf>
    <xf numFmtId="0" fontId="0" fillId="2" borderId="37" xfId="0" applyFill="1" applyBorder="1" applyAlignment="1">
      <alignment horizontal="right"/>
    </xf>
    <xf numFmtId="0" fontId="0" fillId="2" borderId="38" xfId="0" applyFill="1" applyBorder="1" applyAlignment="1">
      <alignment horizontal="center"/>
    </xf>
    <xf numFmtId="0" fontId="0" fillId="2" borderId="39" xfId="0" applyFill="1" applyBorder="1" applyAlignment="1">
      <alignment horizontal="center"/>
    </xf>
    <xf numFmtId="0" fontId="12" fillId="2" borderId="40" xfId="0" applyFont="1" applyFill="1" applyBorder="1" applyAlignment="1">
      <alignment horizontal="right"/>
    </xf>
    <xf numFmtId="0" fontId="12" fillId="0" borderId="23" xfId="0" applyFont="1" applyBorder="1" applyAlignment="1">
      <alignment/>
    </xf>
    <xf numFmtId="0" fontId="12" fillId="0" borderId="24" xfId="0" applyFont="1" applyBorder="1" applyAlignment="1">
      <alignment/>
    </xf>
    <xf numFmtId="0" fontId="12" fillId="0" borderId="41" xfId="0" applyFont="1" applyFill="1" applyBorder="1" applyAlignment="1">
      <alignment horizontal="right"/>
    </xf>
    <xf numFmtId="0" fontId="0" fillId="0" borderId="24" xfId="0" applyBorder="1" applyAlignment="1">
      <alignment/>
    </xf>
    <xf numFmtId="0" fontId="0" fillId="0" borderId="25" xfId="0" applyBorder="1" applyAlignment="1">
      <alignment/>
    </xf>
    <xf numFmtId="0" fontId="12" fillId="2" borderId="0" xfId="0" applyFont="1" applyFill="1" applyBorder="1" applyAlignment="1">
      <alignment horizontal="right"/>
    </xf>
    <xf numFmtId="0" fontId="13" fillId="2" borderId="0" xfId="0" applyFont="1" applyFill="1" applyBorder="1" applyAlignment="1">
      <alignment/>
    </xf>
    <xf numFmtId="0" fontId="12" fillId="2" borderId="0" xfId="0" applyFont="1" applyFill="1" applyBorder="1" applyAlignment="1">
      <alignment horizontal="center"/>
    </xf>
    <xf numFmtId="0" fontId="0" fillId="2" borderId="10" xfId="0" applyFill="1" applyBorder="1" applyAlignment="1">
      <alignment horizontal="right"/>
    </xf>
    <xf numFmtId="0" fontId="0" fillId="0" borderId="0" xfId="0" applyFont="1" applyAlignment="1">
      <alignment horizontal="right"/>
    </xf>
    <xf numFmtId="0" fontId="0" fillId="0" borderId="0" xfId="0" applyFont="1" applyAlignment="1">
      <alignment/>
    </xf>
    <xf numFmtId="164" fontId="0" fillId="0" borderId="0" xfId="0" applyNumberFormat="1" applyFont="1" applyAlignment="1">
      <alignment/>
    </xf>
    <xf numFmtId="0" fontId="0" fillId="6" borderId="0" xfId="0" applyFill="1" applyAlignment="1">
      <alignment/>
    </xf>
    <xf numFmtId="0" fontId="16" fillId="6" borderId="0" xfId="0" applyFont="1" applyFill="1" applyAlignment="1">
      <alignment/>
    </xf>
    <xf numFmtId="164" fontId="0" fillId="2" borderId="11" xfId="0" applyNumberFormat="1" applyFill="1" applyBorder="1" applyAlignment="1" applyProtection="1">
      <alignment/>
      <protection/>
    </xf>
    <xf numFmtId="1" fontId="0" fillId="2" borderId="9" xfId="0" applyNumberFormat="1" applyFill="1" applyBorder="1" applyAlignment="1">
      <alignment/>
    </xf>
    <xf numFmtId="1" fontId="0" fillId="2" borderId="42" xfId="0" applyNumberFormat="1" applyFill="1" applyBorder="1" applyAlignment="1">
      <alignment/>
    </xf>
    <xf numFmtId="1" fontId="0" fillId="2" borderId="9" xfId="0" applyNumberFormat="1" applyFill="1" applyBorder="1" applyAlignment="1" applyProtection="1">
      <alignment/>
      <protection/>
    </xf>
    <xf numFmtId="164" fontId="0" fillId="2" borderId="0" xfId="0" applyNumberFormat="1" applyFill="1" applyBorder="1" applyAlignment="1">
      <alignment horizontal="center"/>
    </xf>
    <xf numFmtId="3" fontId="0" fillId="0" borderId="43" xfId="0" applyNumberFormat="1" applyFill="1" applyBorder="1" applyAlignment="1" applyProtection="1">
      <alignment/>
      <protection locked="0"/>
    </xf>
    <xf numFmtId="3" fontId="0" fillId="0" borderId="10" xfId="0" applyNumberFormat="1" applyFill="1" applyBorder="1" applyAlignment="1" applyProtection="1">
      <alignment/>
      <protection locked="0"/>
    </xf>
    <xf numFmtId="0" fontId="0" fillId="2" borderId="0" xfId="0" applyFill="1" applyBorder="1" applyAlignment="1">
      <alignment horizontal="right" vertical="center"/>
    </xf>
    <xf numFmtId="164" fontId="0" fillId="2" borderId="0" xfId="0" applyNumberFormat="1" applyFill="1" applyBorder="1" applyAlignment="1">
      <alignment horizontal="right"/>
    </xf>
    <xf numFmtId="0" fontId="2" fillId="2" borderId="1" xfId="0" applyFont="1" applyFill="1" applyBorder="1" applyAlignment="1">
      <alignment/>
    </xf>
    <xf numFmtId="0" fontId="0" fillId="2" borderId="4" xfId="0" applyFill="1" applyBorder="1" applyAlignment="1">
      <alignment horizontal="right"/>
    </xf>
    <xf numFmtId="1" fontId="0" fillId="2" borderId="0" xfId="0" applyNumberFormat="1" applyFill="1" applyBorder="1" applyAlignment="1" applyProtection="1">
      <alignment/>
      <protection locked="0"/>
    </xf>
    <xf numFmtId="0" fontId="0" fillId="2" borderId="31" xfId="0" applyFill="1" applyBorder="1" applyAlignment="1">
      <alignment/>
    </xf>
    <xf numFmtId="0" fontId="17" fillId="6" borderId="0" xfId="0" applyFont="1" applyFill="1" applyAlignment="1">
      <alignment/>
    </xf>
    <xf numFmtId="164" fontId="0" fillId="2" borderId="0" xfId="0" applyNumberFormat="1" applyFill="1" applyBorder="1" applyAlignment="1" applyProtection="1">
      <alignment/>
      <protection/>
    </xf>
    <xf numFmtId="164" fontId="0" fillId="2" borderId="19" xfId="0" applyNumberFormat="1" applyFill="1" applyBorder="1" applyAlignment="1" applyProtection="1">
      <alignment/>
      <protection locked="0"/>
    </xf>
    <xf numFmtId="164" fontId="0" fillId="2" borderId="12" xfId="0" applyNumberFormat="1" applyFill="1" applyBorder="1" applyAlignment="1" applyProtection="1">
      <alignment/>
      <protection locked="0"/>
    </xf>
    <xf numFmtId="164" fontId="0" fillId="2" borderId="22"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164" fontId="0" fillId="2" borderId="31" xfId="0" applyNumberFormat="1" applyFill="1" applyBorder="1" applyAlignment="1" applyProtection="1">
      <alignment/>
      <protection/>
    </xf>
    <xf numFmtId="0" fontId="0" fillId="2" borderId="4" xfId="0" applyNumberFormat="1" applyFill="1" applyBorder="1" applyAlignment="1" applyProtection="1">
      <alignment/>
      <protection locked="0"/>
    </xf>
    <xf numFmtId="0" fontId="0" fillId="2" borderId="31" xfId="0" applyNumberFormat="1" applyFill="1" applyBorder="1" applyAlignment="1" applyProtection="1">
      <alignment/>
      <protection/>
    </xf>
    <xf numFmtId="0" fontId="0" fillId="0" borderId="0" xfId="0" applyNumberFormat="1" applyFont="1" applyAlignment="1">
      <alignment/>
    </xf>
    <xf numFmtId="0" fontId="0" fillId="0" borderId="0" xfId="0" applyNumberFormat="1" applyFill="1" applyBorder="1" applyAlignment="1">
      <alignment/>
    </xf>
    <xf numFmtId="3" fontId="2" fillId="0" borderId="0" xfId="0" applyNumberFormat="1" applyFont="1" applyAlignment="1">
      <alignment/>
    </xf>
    <xf numFmtId="3" fontId="0" fillId="0" borderId="11" xfId="0" applyNumberFormat="1" applyFill="1" applyBorder="1" applyAlignment="1" applyProtection="1">
      <alignment/>
      <protection locked="0"/>
    </xf>
    <xf numFmtId="3" fontId="0" fillId="0" borderId="29" xfId="0" applyNumberFormat="1" applyFill="1" applyBorder="1" applyAlignment="1" applyProtection="1">
      <alignment/>
      <protection locked="0"/>
    </xf>
    <xf numFmtId="164" fontId="18" fillId="2" borderId="0" xfId="0" applyNumberFormat="1" applyFont="1" applyFill="1" applyBorder="1" applyAlignment="1">
      <alignment/>
    </xf>
    <xf numFmtId="3" fontId="0" fillId="0" borderId="11" xfId="0" applyNumberFormat="1" applyFill="1" applyBorder="1" applyAlignment="1" applyProtection="1">
      <alignment/>
      <protection locked="0"/>
    </xf>
    <xf numFmtId="164" fontId="0" fillId="2" borderId="4" xfId="0" applyNumberFormat="1" applyFill="1" applyBorder="1" applyAlignment="1" applyProtection="1">
      <alignment horizontal="center"/>
      <protection locked="0"/>
    </xf>
    <xf numFmtId="0" fontId="0" fillId="2" borderId="0" xfId="0" applyFill="1" applyBorder="1" applyAlignment="1" applyProtection="1">
      <alignment horizontal="right"/>
      <protection locked="0"/>
    </xf>
    <xf numFmtId="3" fontId="0" fillId="0" borderId="0" xfId="0" applyNumberFormat="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7" borderId="49" xfId="0" applyFill="1" applyBorder="1" applyAlignment="1">
      <alignment/>
    </xf>
    <xf numFmtId="0" fontId="0" fillId="7" borderId="50" xfId="0" applyFill="1" applyBorder="1" applyAlignment="1">
      <alignment/>
    </xf>
    <xf numFmtId="0" fontId="0" fillId="7" borderId="51" xfId="0" applyFill="1" applyBorder="1" applyAlignment="1">
      <alignment horizontal="right"/>
    </xf>
    <xf numFmtId="0" fontId="0" fillId="7" borderId="52" xfId="0" applyFill="1" applyBorder="1" applyAlignment="1">
      <alignment/>
    </xf>
    <xf numFmtId="3" fontId="0" fillId="0" borderId="53" xfId="0" applyNumberFormat="1" applyFill="1" applyBorder="1" applyAlignment="1" applyProtection="1">
      <alignment/>
      <protection locked="0"/>
    </xf>
    <xf numFmtId="0" fontId="0" fillId="0" borderId="0" xfId="0" applyAlignment="1" applyProtection="1">
      <alignment/>
      <protection/>
    </xf>
    <xf numFmtId="0" fontId="0" fillId="0" borderId="11" xfId="0" applyFill="1" applyBorder="1" applyAlignment="1" applyProtection="1">
      <alignment horizontal="right"/>
      <protection locked="0"/>
    </xf>
    <xf numFmtId="0" fontId="0" fillId="0" borderId="54"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0" borderId="55" xfId="0" applyFill="1" applyBorder="1" applyAlignment="1" applyProtection="1">
      <alignment horizontal="right"/>
      <protection locked="0"/>
    </xf>
    <xf numFmtId="0" fontId="2" fillId="2" borderId="3" xfId="0" applyFont="1" applyFill="1" applyBorder="1" applyAlignment="1">
      <alignment horizontal="left"/>
    </xf>
    <xf numFmtId="0" fontId="0" fillId="2" borderId="56" xfId="0" applyFill="1" applyBorder="1" applyAlignment="1" applyProtection="1">
      <alignment/>
      <protection/>
    </xf>
    <xf numFmtId="1" fontId="0" fillId="2" borderId="57" xfId="0" applyNumberFormat="1" applyFill="1" applyBorder="1" applyAlignment="1" applyProtection="1">
      <alignment/>
      <protection/>
    </xf>
    <xf numFmtId="0" fontId="0" fillId="2" borderId="58" xfId="0" applyFill="1" applyBorder="1" applyAlignment="1" applyProtection="1">
      <alignment/>
      <protection/>
    </xf>
    <xf numFmtId="0" fontId="0" fillId="2" borderId="12" xfId="0" applyFill="1" applyBorder="1" applyAlignment="1">
      <alignment horizontal="right"/>
    </xf>
    <xf numFmtId="7" fontId="0" fillId="2" borderId="0" xfId="0" applyNumberFormat="1" applyFill="1" applyBorder="1" applyAlignment="1">
      <alignment/>
    </xf>
    <xf numFmtId="164" fontId="0" fillId="2" borderId="29" xfId="0" applyNumberFormat="1" applyFill="1" applyBorder="1" applyAlignment="1" applyProtection="1">
      <alignment/>
      <protection locked="0"/>
    </xf>
    <xf numFmtId="164" fontId="0" fillId="2" borderId="11" xfId="0" applyNumberFormat="1" applyFill="1" applyBorder="1" applyAlignment="1" applyProtection="1">
      <alignment/>
      <protection locked="0"/>
    </xf>
    <xf numFmtId="10" fontId="0" fillId="2" borderId="11" xfId="0" applyNumberFormat="1" applyFill="1" applyBorder="1" applyAlignment="1" applyProtection="1">
      <alignment/>
      <protection locked="0"/>
    </xf>
    <xf numFmtId="0" fontId="0" fillId="2" borderId="29" xfId="0" applyFill="1" applyBorder="1" applyAlignment="1" applyProtection="1">
      <alignment/>
      <protection locked="0"/>
    </xf>
    <xf numFmtId="1" fontId="0" fillId="2" borderId="9" xfId="0" applyNumberFormat="1" applyFill="1" applyBorder="1" applyAlignment="1" applyProtection="1">
      <alignment/>
      <protection locked="0"/>
    </xf>
    <xf numFmtId="0" fontId="19" fillId="3" borderId="59" xfId="0" applyFont="1" applyFill="1" applyBorder="1" applyAlignment="1">
      <alignment horizontal="center" vertical="center" wrapText="1"/>
    </xf>
    <xf numFmtId="0" fontId="0" fillId="0" borderId="11"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10" fillId="8" borderId="11"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20" fillId="9" borderId="64" xfId="0" applyFont="1" applyFill="1" applyBorder="1" applyAlignment="1">
      <alignment horizontal="center" vertical="center" wrapText="1"/>
    </xf>
    <xf numFmtId="0" fontId="10" fillId="10" borderId="64" xfId="0" applyFont="1" applyFill="1" applyBorder="1" applyAlignment="1">
      <alignment horizontal="center" vertical="center" wrapText="1"/>
    </xf>
    <xf numFmtId="166" fontId="21" fillId="8" borderId="64" xfId="17" applyNumberFormat="1" applyFont="1" applyFill="1" applyBorder="1" applyAlignment="1">
      <alignment/>
    </xf>
    <xf numFmtId="166" fontId="22" fillId="9" borderId="64" xfId="17" applyNumberFormat="1" applyFont="1" applyFill="1" applyBorder="1" applyAlignment="1">
      <alignment/>
    </xf>
    <xf numFmtId="166" fontId="21" fillId="10" borderId="64" xfId="17" applyNumberFormat="1" applyFont="1" applyFill="1" applyBorder="1" applyAlignment="1">
      <alignment/>
    </xf>
    <xf numFmtId="166" fontId="21" fillId="8" borderId="60" xfId="17" applyNumberFormat="1" applyFont="1" applyFill="1" applyBorder="1" applyAlignment="1">
      <alignment/>
    </xf>
    <xf numFmtId="166" fontId="22" fillId="9" borderId="60" xfId="17" applyNumberFormat="1" applyFont="1" applyFill="1" applyBorder="1" applyAlignment="1">
      <alignment/>
    </xf>
    <xf numFmtId="166" fontId="21" fillId="10" borderId="60" xfId="17" applyNumberFormat="1" applyFont="1" applyFill="1" applyBorder="1" applyAlignment="1">
      <alignment/>
    </xf>
    <xf numFmtId="166" fontId="21" fillId="8" borderId="62" xfId="17" applyNumberFormat="1" applyFont="1" applyFill="1" applyBorder="1" applyAlignment="1">
      <alignment/>
    </xf>
    <xf numFmtId="166" fontId="22" fillId="9" borderId="62" xfId="17" applyNumberFormat="1" applyFont="1" applyFill="1" applyBorder="1" applyAlignment="1">
      <alignment/>
    </xf>
    <xf numFmtId="166" fontId="21" fillId="10" borderId="62" xfId="17" applyNumberFormat="1" applyFont="1" applyFill="1" applyBorder="1" applyAlignment="1">
      <alignment/>
    </xf>
    <xf numFmtId="0" fontId="0" fillId="8" borderId="17" xfId="0" applyFill="1" applyBorder="1" applyAlignment="1">
      <alignment/>
    </xf>
    <xf numFmtId="0" fontId="0" fillId="8" borderId="18" xfId="0" applyFill="1" applyBorder="1" applyAlignment="1">
      <alignment/>
    </xf>
    <xf numFmtId="0" fontId="0" fillId="9" borderId="17" xfId="0" applyFill="1" applyBorder="1" applyAlignment="1">
      <alignment/>
    </xf>
    <xf numFmtId="0" fontId="0" fillId="9" borderId="18" xfId="0" applyFill="1" applyBorder="1" applyAlignment="1">
      <alignment/>
    </xf>
    <xf numFmtId="0" fontId="0" fillId="10" borderId="17" xfId="0" applyFill="1" applyBorder="1" applyAlignment="1">
      <alignment/>
    </xf>
    <xf numFmtId="0" fontId="0" fillId="10" borderId="18" xfId="0" applyFill="1" applyBorder="1" applyAlignment="1">
      <alignment/>
    </xf>
    <xf numFmtId="0" fontId="0" fillId="0" borderId="65" xfId="0" applyFill="1" applyBorder="1" applyAlignment="1">
      <alignment horizontal="right"/>
    </xf>
    <xf numFmtId="0" fontId="0" fillId="0" borderId="66" xfId="0" applyFill="1" applyBorder="1" applyAlignment="1">
      <alignment horizontal="right"/>
    </xf>
    <xf numFmtId="0" fontId="0" fillId="0" borderId="67" xfId="0" applyFill="1" applyBorder="1" applyAlignment="1">
      <alignment horizontal="right" wrapText="1"/>
    </xf>
    <xf numFmtId="0" fontId="0" fillId="8" borderId="68" xfId="0" applyFill="1" applyBorder="1" applyAlignment="1">
      <alignment horizontal="center"/>
    </xf>
    <xf numFmtId="0" fontId="0" fillId="8" borderId="69" xfId="0" applyFill="1" applyBorder="1" applyAlignment="1">
      <alignment horizontal="center"/>
    </xf>
    <xf numFmtId="3" fontId="0" fillId="8" borderId="70" xfId="0" applyNumberFormat="1" applyFill="1" applyBorder="1" applyAlignment="1">
      <alignment horizontal="center"/>
    </xf>
    <xf numFmtId="3" fontId="0" fillId="8" borderId="71" xfId="0" applyNumberFormat="1" applyFill="1" applyBorder="1" applyAlignment="1">
      <alignment horizontal="center"/>
    </xf>
    <xf numFmtId="0" fontId="0" fillId="9" borderId="72" xfId="0" applyFill="1" applyBorder="1" applyAlignment="1">
      <alignment horizontal="center"/>
    </xf>
    <xf numFmtId="0" fontId="0" fillId="9" borderId="11" xfId="0" applyFill="1" applyBorder="1" applyAlignment="1">
      <alignment horizontal="center"/>
    </xf>
    <xf numFmtId="0" fontId="0" fillId="9" borderId="59" xfId="0" applyFill="1" applyBorder="1" applyAlignment="1">
      <alignment horizontal="center"/>
    </xf>
    <xf numFmtId="3" fontId="0" fillId="9" borderId="60" xfId="0" applyNumberFormat="1" applyFill="1" applyBorder="1" applyAlignment="1">
      <alignment horizontal="center"/>
    </xf>
    <xf numFmtId="3" fontId="0" fillId="9" borderId="61" xfId="0" applyNumberFormat="1" applyFill="1" applyBorder="1" applyAlignment="1">
      <alignment horizontal="center"/>
    </xf>
    <xf numFmtId="0" fontId="0" fillId="10" borderId="73" xfId="0" applyFill="1" applyBorder="1" applyAlignment="1">
      <alignment horizontal="center"/>
    </xf>
    <xf numFmtId="0" fontId="0" fillId="10" borderId="10" xfId="0" applyFill="1" applyBorder="1" applyAlignment="1">
      <alignment horizontal="center"/>
    </xf>
    <xf numFmtId="3" fontId="0" fillId="10" borderId="15" xfId="0" applyNumberFormat="1" applyFill="1" applyBorder="1" applyAlignment="1">
      <alignment horizontal="center"/>
    </xf>
    <xf numFmtId="3" fontId="0" fillId="10" borderId="53" xfId="0" applyNumberFormat="1" applyFill="1" applyBorder="1" applyAlignment="1">
      <alignment horizontal="center"/>
    </xf>
    <xf numFmtId="0" fontId="23" fillId="0" borderId="0" xfId="0" applyFont="1" applyAlignment="1">
      <alignment/>
    </xf>
    <xf numFmtId="0" fontId="23" fillId="0" borderId="0" xfId="0" applyNumberFormat="1" applyFont="1" applyAlignment="1">
      <alignment/>
    </xf>
    <xf numFmtId="2" fontId="23" fillId="0" borderId="0" xfId="0" applyNumberFormat="1" applyFont="1" applyAlignment="1">
      <alignment/>
    </xf>
    <xf numFmtId="166" fontId="21" fillId="9" borderId="62" xfId="17" applyNumberFormat="1" applyFont="1" applyFill="1" applyBorder="1" applyAlignment="1">
      <alignment/>
    </xf>
    <xf numFmtId="166" fontId="21" fillId="9" borderId="60" xfId="17" applyNumberFormat="1" applyFont="1" applyFill="1" applyBorder="1" applyAlignment="1">
      <alignment/>
    </xf>
    <xf numFmtId="44" fontId="0" fillId="0" borderId="10" xfId="0" applyNumberFormat="1" applyFill="1" applyBorder="1" applyAlignment="1" applyProtection="1">
      <alignment/>
      <protection locked="0"/>
    </xf>
    <xf numFmtId="44" fontId="0" fillId="0" borderId="53" xfId="0" applyNumberFormat="1" applyFill="1" applyBorder="1" applyAlignment="1" applyProtection="1">
      <alignment/>
      <protection locked="0"/>
    </xf>
    <xf numFmtId="44" fontId="0" fillId="0" borderId="11" xfId="0" applyNumberFormat="1" applyFill="1" applyBorder="1" applyAlignment="1" applyProtection="1">
      <alignment/>
      <protection locked="0"/>
    </xf>
    <xf numFmtId="44" fontId="0" fillId="0" borderId="31" xfId="0" applyNumberFormat="1" applyFill="1" applyBorder="1" applyAlignment="1" applyProtection="1">
      <alignment/>
      <protection locked="0"/>
    </xf>
    <xf numFmtId="164" fontId="0" fillId="3" borderId="11" xfId="0" applyNumberFormat="1" applyFill="1" applyBorder="1" applyAlignment="1" applyProtection="1">
      <alignment/>
      <protection locked="0"/>
    </xf>
    <xf numFmtId="44" fontId="0" fillId="2" borderId="7" xfId="0" applyNumberFormat="1" applyFill="1" applyBorder="1" applyAlignment="1" applyProtection="1">
      <alignment/>
      <protection locked="0"/>
    </xf>
    <xf numFmtId="9" fontId="14" fillId="8" borderId="18" xfId="0" applyNumberFormat="1" applyFont="1" applyFill="1" applyBorder="1" applyAlignment="1" applyProtection="1">
      <alignment/>
      <protection locked="0"/>
    </xf>
    <xf numFmtId="9" fontId="14" fillId="9" borderId="18" xfId="0" applyNumberFormat="1" applyFont="1" applyFill="1" applyBorder="1" applyAlignment="1" applyProtection="1">
      <alignment/>
      <protection locked="0"/>
    </xf>
    <xf numFmtId="9" fontId="14" fillId="10" borderId="18" xfId="0" applyNumberFormat="1" applyFont="1" applyFill="1" applyBorder="1" applyAlignment="1" applyProtection="1">
      <alignment/>
      <protection locked="0"/>
    </xf>
    <xf numFmtId="0" fontId="0" fillId="2" borderId="3" xfId="0" applyFill="1" applyBorder="1" applyAlignment="1">
      <alignment horizontal="right"/>
    </xf>
    <xf numFmtId="9" fontId="14" fillId="2" borderId="3" xfId="0" applyNumberFormat="1" applyFont="1" applyFill="1" applyBorder="1" applyAlignment="1" applyProtection="1">
      <alignment/>
      <protection locked="0"/>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8" xfId="0" applyFill="1" applyBorder="1" applyAlignment="1" applyProtection="1">
      <alignment/>
      <protection hidden="1"/>
    </xf>
    <xf numFmtId="0" fontId="1" fillId="2" borderId="3" xfId="0" applyFont="1" applyFill="1" applyBorder="1" applyAlignment="1" applyProtection="1">
      <alignment/>
      <protection hidden="1"/>
    </xf>
    <xf numFmtId="0" fontId="0" fillId="2" borderId="0" xfId="0" applyFill="1" applyBorder="1" applyAlignment="1" applyProtection="1">
      <alignment/>
      <protection hidden="1"/>
    </xf>
    <xf numFmtId="0" fontId="0" fillId="2" borderId="4" xfId="0" applyFill="1" applyBorder="1" applyAlignment="1" applyProtection="1">
      <alignment/>
      <protection hidden="1"/>
    </xf>
    <xf numFmtId="0" fontId="0" fillId="2" borderId="3" xfId="0" applyFill="1" applyBorder="1" applyAlignment="1" applyProtection="1">
      <alignment/>
      <protection hidden="1"/>
    </xf>
    <xf numFmtId="0" fontId="2" fillId="2" borderId="0" xfId="0" applyFont="1" applyFill="1" applyBorder="1" applyAlignment="1" applyProtection="1">
      <alignment/>
      <protection hidden="1"/>
    </xf>
    <xf numFmtId="164" fontId="0" fillId="2" borderId="10" xfId="0" applyNumberFormat="1" applyFill="1" applyBorder="1" applyAlignment="1" applyProtection="1">
      <alignment/>
      <protection hidden="1"/>
    </xf>
    <xf numFmtId="0" fontId="0" fillId="2" borderId="10" xfId="0" applyFill="1" applyBorder="1" applyAlignment="1" applyProtection="1">
      <alignment/>
      <protection hidden="1"/>
    </xf>
    <xf numFmtId="0" fontId="2" fillId="2" borderId="12" xfId="0" applyFont="1" applyFill="1" applyBorder="1" applyAlignment="1" applyProtection="1">
      <alignment/>
      <protection hidden="1"/>
    </xf>
    <xf numFmtId="0" fontId="0" fillId="2" borderId="12" xfId="0" applyFill="1" applyBorder="1" applyAlignment="1" applyProtection="1">
      <alignment/>
      <protection hidden="1"/>
    </xf>
    <xf numFmtId="0" fontId="0" fillId="2" borderId="15"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4" fillId="0" borderId="0" xfId="0" applyFont="1" applyAlignment="1" applyProtection="1">
      <alignment/>
      <protection hidden="1"/>
    </xf>
    <xf numFmtId="0" fontId="24" fillId="2" borderId="0" xfId="0" applyFont="1" applyFill="1" applyBorder="1" applyAlignment="1">
      <alignment vertical="center"/>
    </xf>
    <xf numFmtId="0" fontId="18" fillId="2" borderId="0" xfId="0" applyFont="1" applyFill="1" applyBorder="1" applyAlignment="1">
      <alignment/>
    </xf>
    <xf numFmtId="10" fontId="18" fillId="2" borderId="0" xfId="0" applyNumberFormat="1" applyFont="1" applyFill="1" applyBorder="1" applyAlignment="1" applyProtection="1">
      <alignment/>
      <protection locked="0"/>
    </xf>
    <xf numFmtId="0" fontId="0" fillId="8" borderId="11" xfId="0" applyFill="1" applyBorder="1" applyAlignment="1">
      <alignment horizontal="center" vertical="center" wrapText="1"/>
    </xf>
    <xf numFmtId="3" fontId="0" fillId="8" borderId="11" xfId="0" applyNumberFormat="1" applyFill="1" applyBorder="1" applyAlignment="1" applyProtection="1">
      <alignment/>
      <protection locked="0"/>
    </xf>
    <xf numFmtId="0" fontId="0" fillId="8" borderId="11" xfId="0" applyFill="1" applyBorder="1" applyAlignment="1" applyProtection="1">
      <alignment/>
      <protection locked="0"/>
    </xf>
    <xf numFmtId="3" fontId="0" fillId="9" borderId="11" xfId="0" applyNumberFormat="1" applyFill="1" applyBorder="1" applyAlignment="1" applyProtection="1">
      <alignment/>
      <protection locked="0"/>
    </xf>
    <xf numFmtId="0" fontId="0" fillId="9" borderId="11" xfId="0" applyFill="1" applyBorder="1" applyAlignment="1" applyProtection="1">
      <alignment/>
      <protection locked="0"/>
    </xf>
    <xf numFmtId="0" fontId="0" fillId="9" borderId="11" xfId="0" applyFill="1" applyBorder="1" applyAlignment="1">
      <alignment horizontal="center" vertical="center" wrapText="1"/>
    </xf>
    <xf numFmtId="0" fontId="0" fillId="11" borderId="11" xfId="0" applyFill="1" applyBorder="1" applyAlignment="1">
      <alignment horizontal="center" vertical="center" wrapText="1"/>
    </xf>
    <xf numFmtId="3" fontId="0" fillId="11" borderId="11" xfId="0" applyNumberFormat="1" applyFill="1" applyBorder="1" applyAlignment="1" applyProtection="1">
      <alignment/>
      <protection locked="0"/>
    </xf>
    <xf numFmtId="0" fontId="0" fillId="11" borderId="11" xfId="0" applyFill="1" applyBorder="1" applyAlignment="1" applyProtection="1">
      <alignment/>
      <protection locked="0"/>
    </xf>
    <xf numFmtId="37" fontId="0" fillId="11" borderId="11" xfId="17" applyNumberFormat="1" applyFill="1" applyBorder="1" applyAlignment="1" applyProtection="1">
      <alignment/>
      <protection locked="0"/>
    </xf>
    <xf numFmtId="44" fontId="0" fillId="0" borderId="74" xfId="0" applyNumberFormat="1" applyFill="1" applyBorder="1" applyAlignment="1" applyProtection="1">
      <alignment/>
      <protection locked="0"/>
    </xf>
    <xf numFmtId="44" fontId="0" fillId="2" borderId="0" xfId="0" applyNumberFormat="1" applyFill="1" applyBorder="1" applyAlignment="1">
      <alignment/>
    </xf>
    <xf numFmtId="37" fontId="0" fillId="11" borderId="11" xfId="0" applyNumberFormat="1" applyFill="1" applyBorder="1" applyAlignment="1" applyProtection="1">
      <alignment/>
      <protection locked="0"/>
    </xf>
    <xf numFmtId="1" fontId="0" fillId="0" borderId="11" xfId="0" applyNumberFormat="1" applyFill="1" applyBorder="1" applyAlignment="1" applyProtection="1">
      <alignment/>
      <protection locked="0"/>
    </xf>
    <xf numFmtId="44" fontId="0" fillId="0" borderId="11" xfId="0" applyNumberFormat="1" applyFill="1" applyBorder="1" applyAlignment="1" applyProtection="1">
      <alignment/>
      <protection locked="0"/>
    </xf>
    <xf numFmtId="1" fontId="0" fillId="11" borderId="11" xfId="0" applyNumberFormat="1" applyFill="1" applyBorder="1" applyAlignment="1" applyProtection="1">
      <alignment/>
      <protection locked="0"/>
    </xf>
    <xf numFmtId="164" fontId="0" fillId="0" borderId="29" xfId="0" applyNumberFormat="1" applyFill="1" applyBorder="1" applyAlignment="1" applyProtection="1">
      <alignment/>
      <protection locked="0"/>
    </xf>
    <xf numFmtId="3" fontId="0" fillId="0" borderId="29" xfId="0" applyNumberFormat="1" applyFill="1" applyBorder="1" applyAlignment="1" applyProtection="1">
      <alignment/>
      <protection locked="0"/>
    </xf>
    <xf numFmtId="44" fontId="0" fillId="8" borderId="11" xfId="0" applyNumberFormat="1" applyFill="1" applyBorder="1" applyAlignment="1" applyProtection="1">
      <alignment/>
      <protection locked="0"/>
    </xf>
    <xf numFmtId="44" fontId="0" fillId="9" borderId="11" xfId="0" applyNumberFormat="1" applyFill="1" applyBorder="1" applyAlignment="1" applyProtection="1">
      <alignment/>
      <protection locked="0"/>
    </xf>
    <xf numFmtId="44" fontId="0" fillId="11" borderId="11" xfId="0" applyNumberFormat="1" applyFill="1" applyBorder="1" applyAlignment="1" applyProtection="1">
      <alignment/>
      <protection locked="0"/>
    </xf>
    <xf numFmtId="44" fontId="0" fillId="2" borderId="0" xfId="0" applyNumberFormat="1" applyFill="1" applyBorder="1" applyAlignment="1" applyProtection="1">
      <alignment/>
      <protection locked="0"/>
    </xf>
    <xf numFmtId="1" fontId="0" fillId="8" borderId="11" xfId="0" applyNumberFormat="1" applyFill="1" applyBorder="1" applyAlignment="1" applyProtection="1">
      <alignment/>
      <protection locked="0"/>
    </xf>
    <xf numFmtId="1" fontId="0" fillId="9" borderId="11" xfId="0" applyNumberFormat="1" applyFill="1" applyBorder="1" applyAlignment="1" applyProtection="1">
      <alignment/>
      <protection locked="0"/>
    </xf>
    <xf numFmtId="10" fontId="0" fillId="8" borderId="11" xfId="0" applyNumberFormat="1" applyFill="1" applyBorder="1" applyAlignment="1" applyProtection="1">
      <alignment/>
      <protection locked="0"/>
    </xf>
    <xf numFmtId="10" fontId="0" fillId="9" borderId="11" xfId="0" applyNumberFormat="1" applyFill="1" applyBorder="1" applyAlignment="1" applyProtection="1">
      <alignment/>
      <protection locked="0"/>
    </xf>
    <xf numFmtId="10" fontId="0" fillId="11" borderId="11" xfId="0" applyNumberFormat="1" applyFill="1" applyBorder="1" applyAlignment="1">
      <alignment/>
    </xf>
    <xf numFmtId="44" fontId="0" fillId="2" borderId="11" xfId="0" applyNumberFormat="1" applyFill="1" applyBorder="1" applyAlignment="1">
      <alignment/>
    </xf>
    <xf numFmtId="0" fontId="1" fillId="5" borderId="0" xfId="0" applyFont="1" applyFill="1" applyAlignment="1">
      <alignment/>
    </xf>
    <xf numFmtId="0" fontId="0" fillId="5" borderId="0" xfId="0" applyFill="1" applyAlignment="1">
      <alignment/>
    </xf>
    <xf numFmtId="0" fontId="0" fillId="5" borderId="0" xfId="0" applyFill="1" applyAlignment="1" applyProtection="1">
      <alignment/>
      <protection/>
    </xf>
    <xf numFmtId="0" fontId="0" fillId="5" borderId="0" xfId="0" applyFill="1" applyAlignment="1" applyProtection="1">
      <alignment/>
      <protection locked="0"/>
    </xf>
    <xf numFmtId="0" fontId="0" fillId="5" borderId="0" xfId="0" applyFill="1" applyAlignment="1">
      <alignment horizontal="right"/>
    </xf>
    <xf numFmtId="0" fontId="2" fillId="5" borderId="0" xfId="0" applyFont="1" applyFill="1" applyAlignment="1">
      <alignment/>
    </xf>
    <xf numFmtId="0" fontId="0" fillId="5" borderId="0" xfId="0" applyFill="1" applyBorder="1" applyAlignment="1">
      <alignment/>
    </xf>
    <xf numFmtId="0" fontId="0" fillId="5" borderId="0" xfId="0" applyFill="1" applyAlignment="1" applyProtection="1">
      <alignment/>
      <protection hidden="1"/>
    </xf>
    <xf numFmtId="0" fontId="0" fillId="8" borderId="11" xfId="0" applyFill="1" applyBorder="1" applyAlignment="1" applyProtection="1">
      <alignment horizontal="center" vertical="center" wrapText="1"/>
      <protection locked="0"/>
    </xf>
    <xf numFmtId="0" fontId="0" fillId="9" borderId="11" xfId="0" applyFill="1" applyBorder="1" applyAlignment="1" applyProtection="1">
      <alignment horizontal="center" vertical="center" wrapText="1"/>
      <protection locked="0"/>
    </xf>
    <xf numFmtId="0" fontId="0" fillId="11" borderId="11" xfId="0" applyFill="1" applyBorder="1" applyAlignment="1" applyProtection="1">
      <alignment horizontal="center" vertical="center" wrapText="1"/>
      <protection locked="0"/>
    </xf>
    <xf numFmtId="0" fontId="0" fillId="8" borderId="11" xfId="0" applyFill="1" applyBorder="1" applyAlignment="1" applyProtection="1">
      <alignment horizontal="center" wrapText="1"/>
      <protection locked="0"/>
    </xf>
    <xf numFmtId="0" fontId="0" fillId="9" borderId="11" xfId="0" applyFill="1" applyBorder="1" applyAlignment="1" applyProtection="1">
      <alignment horizontal="center" wrapText="1"/>
      <protection locked="0"/>
    </xf>
    <xf numFmtId="0" fontId="0" fillId="11" borderId="10" xfId="0" applyFill="1" applyBorder="1" applyAlignment="1" applyProtection="1">
      <alignment horizontal="center" wrapText="1"/>
      <protection locked="0"/>
    </xf>
    <xf numFmtId="0" fontId="0" fillId="11" borderId="10" xfId="0" applyFill="1" applyBorder="1" applyAlignment="1" applyProtection="1">
      <alignment/>
      <protection locked="0"/>
    </xf>
    <xf numFmtId="0" fontId="0" fillId="2" borderId="0" xfId="0" applyFill="1" applyBorder="1" applyAlignment="1">
      <alignment horizontal="center" vertical="center" wrapText="1"/>
    </xf>
    <xf numFmtId="0" fontId="0" fillId="5" borderId="11" xfId="0" applyFill="1" applyBorder="1" applyAlignment="1">
      <alignment horizontal="center" vertical="center" wrapText="1"/>
    </xf>
    <xf numFmtId="1" fontId="0" fillId="2" borderId="9" xfId="0" applyNumberFormat="1" applyFill="1" applyBorder="1" applyAlignment="1" quotePrefix="1">
      <alignment/>
    </xf>
    <xf numFmtId="1" fontId="0" fillId="2" borderId="42" xfId="0" applyNumberFormat="1" applyFill="1" applyBorder="1" applyAlignment="1" quotePrefix="1">
      <alignment/>
    </xf>
    <xf numFmtId="0" fontId="23" fillId="5" borderId="0" xfId="0" applyFont="1" applyFill="1" applyAlignment="1">
      <alignment/>
    </xf>
    <xf numFmtId="0" fontId="23" fillId="5" borderId="0" xfId="0" applyNumberFormat="1" applyFont="1" applyFill="1" applyAlignment="1">
      <alignment/>
    </xf>
    <xf numFmtId="0" fontId="0" fillId="5" borderId="0" xfId="0" applyNumberFormat="1" applyFill="1" applyAlignment="1">
      <alignment/>
    </xf>
    <xf numFmtId="2" fontId="23" fillId="5" borderId="0" xfId="0" applyNumberFormat="1" applyFont="1" applyFill="1" applyAlignment="1">
      <alignment/>
    </xf>
    <xf numFmtId="2" fontId="0" fillId="5" borderId="0" xfId="0" applyNumberFormat="1" applyFill="1" applyAlignment="1">
      <alignment/>
    </xf>
    <xf numFmtId="0" fontId="5" fillId="0" borderId="60" xfId="0" applyFont="1" applyBorder="1" applyAlignment="1">
      <alignment/>
    </xf>
    <xf numFmtId="166" fontId="25" fillId="8" borderId="60" xfId="17" applyNumberFormat="1" applyFont="1" applyFill="1" applyBorder="1" applyAlignment="1">
      <alignment/>
    </xf>
    <xf numFmtId="166" fontId="26" fillId="9" borderId="60" xfId="17" applyNumberFormat="1" applyFont="1" applyFill="1" applyBorder="1" applyAlignment="1">
      <alignment/>
    </xf>
    <xf numFmtId="166" fontId="25" fillId="10" borderId="60" xfId="17" applyNumberFormat="1" applyFont="1" applyFill="1" applyBorder="1" applyAlignment="1">
      <alignment/>
    </xf>
    <xf numFmtId="0" fontId="2" fillId="0" borderId="64" xfId="0" applyFont="1" applyBorder="1" applyAlignment="1">
      <alignment/>
    </xf>
    <xf numFmtId="166" fontId="10" fillId="8" borderId="11" xfId="17" applyNumberFormat="1" applyFont="1" applyFill="1" applyBorder="1" applyAlignment="1">
      <alignment/>
    </xf>
    <xf numFmtId="166" fontId="20" fillId="9" borderId="11" xfId="17" applyNumberFormat="1" applyFont="1" applyFill="1" applyBorder="1" applyAlignment="1">
      <alignment/>
    </xf>
    <xf numFmtId="166" fontId="10" fillId="10" borderId="11" xfId="17" applyNumberFormat="1" applyFont="1" applyFill="1" applyBorder="1" applyAlignment="1">
      <alignment/>
    </xf>
    <xf numFmtId="0" fontId="2" fillId="0" borderId="60" xfId="0" applyFont="1" applyBorder="1" applyAlignment="1">
      <alignment/>
    </xf>
    <xf numFmtId="0" fontId="2" fillId="0" borderId="59" xfId="0" applyFont="1" applyBorder="1" applyAlignment="1">
      <alignment/>
    </xf>
    <xf numFmtId="42" fontId="10" fillId="8" borderId="11" xfId="17" applyNumberFormat="1" applyFont="1" applyFill="1" applyBorder="1" applyAlignment="1">
      <alignment/>
    </xf>
    <xf numFmtId="42" fontId="20" fillId="9" borderId="11" xfId="17" applyNumberFormat="1" applyFont="1" applyFill="1" applyBorder="1" applyAlignment="1">
      <alignment/>
    </xf>
    <xf numFmtId="42" fontId="10" fillId="10" borderId="11" xfId="17" applyNumberFormat="1" applyFont="1" applyFill="1" applyBorder="1" applyAlignment="1">
      <alignment/>
    </xf>
    <xf numFmtId="166" fontId="25" fillId="8" borderId="75" xfId="17" applyNumberFormat="1" applyFont="1" applyFill="1" applyBorder="1" applyAlignment="1">
      <alignment/>
    </xf>
    <xf numFmtId="172" fontId="0" fillId="5" borderId="0" xfId="0" applyNumberFormat="1" applyFill="1" applyAlignment="1">
      <alignment/>
    </xf>
    <xf numFmtId="1" fontId="0" fillId="0" borderId="0" xfId="0" applyNumberFormat="1" applyAlignment="1">
      <alignment/>
    </xf>
    <xf numFmtId="2" fontId="0" fillId="5" borderId="0" xfId="0" applyNumberFormat="1" applyFill="1" applyAlignment="1" applyProtection="1">
      <alignment/>
      <protection locked="0"/>
    </xf>
    <xf numFmtId="172" fontId="0" fillId="5" borderId="0" xfId="0" applyNumberFormat="1" applyFill="1" applyAlignment="1" applyProtection="1">
      <alignment/>
      <protection locked="0"/>
    </xf>
    <xf numFmtId="7" fontId="0" fillId="5" borderId="0" xfId="0" applyNumberFormat="1" applyFill="1" applyAlignment="1">
      <alignment/>
    </xf>
    <xf numFmtId="166" fontId="0" fillId="5" borderId="0" xfId="0" applyNumberFormat="1" applyFill="1" applyAlignment="1">
      <alignment/>
    </xf>
    <xf numFmtId="0" fontId="0" fillId="2" borderId="0" xfId="0" applyFill="1" applyBorder="1" applyAlignment="1" applyProtection="1">
      <alignment/>
      <protection locked="0"/>
    </xf>
    <xf numFmtId="3" fontId="0" fillId="9" borderId="11" xfId="0" applyNumberFormat="1" applyFill="1" applyBorder="1" applyAlignment="1" applyProtection="1" quotePrefix="1">
      <alignment/>
      <protection locked="0"/>
    </xf>
    <xf numFmtId="0" fontId="0" fillId="2" borderId="3" xfId="0" applyFont="1" applyFill="1" applyBorder="1" applyAlignment="1">
      <alignment/>
    </xf>
    <xf numFmtId="0" fontId="0" fillId="2" borderId="0" xfId="0" applyFont="1" applyFill="1" applyBorder="1" applyAlignment="1">
      <alignment horizontal="right"/>
    </xf>
    <xf numFmtId="0" fontId="0" fillId="0" borderId="67" xfId="0" applyFill="1" applyBorder="1" applyAlignment="1">
      <alignment horizontal="right" vertical="center" wrapText="1"/>
    </xf>
    <xf numFmtId="164" fontId="0" fillId="5" borderId="17" xfId="0" applyNumberFormat="1" applyFill="1" applyBorder="1" applyAlignment="1">
      <alignment horizontal="center"/>
    </xf>
    <xf numFmtId="0" fontId="0" fillId="0" borderId="19" xfId="0" applyBorder="1" applyAlignment="1">
      <alignment horizontal="center"/>
    </xf>
    <xf numFmtId="0" fontId="29" fillId="5" borderId="0" xfId="0" applyFont="1" applyFill="1" applyAlignment="1">
      <alignment/>
    </xf>
    <xf numFmtId="0" fontId="0" fillId="0" borderId="11" xfId="0" applyFill="1" applyBorder="1" applyAlignment="1">
      <alignment horizontal="center"/>
    </xf>
    <xf numFmtId="0" fontId="0" fillId="2" borderId="0" xfId="0" applyFill="1" applyBorder="1" applyAlignment="1">
      <alignment horizontal="center"/>
    </xf>
    <xf numFmtId="0" fontId="0" fillId="0" borderId="74" xfId="0" applyFill="1" applyBorder="1" applyAlignment="1">
      <alignment horizontal="center" wrapText="1"/>
    </xf>
    <xf numFmtId="0" fontId="0" fillId="0" borderId="33" xfId="0" applyFill="1" applyBorder="1" applyAlignment="1">
      <alignment horizontal="center" wrapText="1"/>
    </xf>
    <xf numFmtId="0" fontId="0" fillId="0" borderId="58" xfId="0" applyFill="1" applyBorder="1" applyAlignment="1">
      <alignment horizontal="center" wrapText="1"/>
    </xf>
    <xf numFmtId="0" fontId="0" fillId="0" borderId="74" xfId="0" applyBorder="1" applyAlignment="1">
      <alignment horizontal="center"/>
    </xf>
    <xf numFmtId="0" fontId="0" fillId="0" borderId="33" xfId="0" applyBorder="1" applyAlignment="1">
      <alignment horizontal="center"/>
    </xf>
    <xf numFmtId="0" fontId="0" fillId="0" borderId="58" xfId="0" applyBorder="1" applyAlignment="1">
      <alignment horizontal="center"/>
    </xf>
    <xf numFmtId="0" fontId="0" fillId="0" borderId="11" xfId="0" applyFill="1" applyBorder="1" applyAlignment="1">
      <alignment horizontal="center" vertical="center"/>
    </xf>
    <xf numFmtId="0" fontId="12" fillId="5" borderId="74" xfId="0" applyFont="1" applyFill="1" applyBorder="1" applyAlignment="1">
      <alignment horizontal="center"/>
    </xf>
    <xf numFmtId="0" fontId="12" fillId="5" borderId="33" xfId="0" applyFont="1" applyFill="1" applyBorder="1" applyAlignment="1">
      <alignment horizontal="center"/>
    </xf>
    <xf numFmtId="0" fontId="12" fillId="5" borderId="58" xfId="0" applyFont="1" applyFill="1" applyBorder="1" applyAlignment="1">
      <alignment horizontal="center"/>
    </xf>
    <xf numFmtId="0" fontId="0" fillId="5" borderId="11" xfId="0" applyFill="1" applyBorder="1" applyAlignment="1">
      <alignment horizontal="center"/>
    </xf>
    <xf numFmtId="0" fontId="19" fillId="3" borderId="74"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58"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Q72"/>
  <sheetViews>
    <sheetView showRowColHeaders="0" tabSelected="1" workbookViewId="0" topLeftCell="A1">
      <selection activeCell="J3" sqref="J3"/>
    </sheetView>
  </sheetViews>
  <sheetFormatPr defaultColWidth="9.140625" defaultRowHeight="12.75"/>
  <cols>
    <col min="2" max="6" width="13.28125" style="0" customWidth="1"/>
    <col min="7" max="7" width="16.00390625" style="0" customWidth="1"/>
  </cols>
  <sheetData>
    <row r="1" spans="1:13" ht="12.75">
      <c r="A1" s="305" t="s">
        <v>201</v>
      </c>
      <c r="B1" s="301"/>
      <c r="C1" s="301"/>
      <c r="D1" s="301"/>
      <c r="E1" s="301"/>
      <c r="F1" s="301"/>
      <c r="G1" s="301"/>
      <c r="H1" s="301"/>
      <c r="I1" s="338"/>
      <c r="J1" s="301"/>
      <c r="K1" s="301"/>
      <c r="L1" s="301"/>
      <c r="M1" s="301"/>
    </row>
    <row r="2" spans="1:13" ht="13.5" thickBot="1">
      <c r="A2" s="301"/>
      <c r="B2" s="301"/>
      <c r="C2" s="301"/>
      <c r="D2" s="301"/>
      <c r="E2" s="301"/>
      <c r="F2" s="301"/>
      <c r="G2" s="301"/>
      <c r="H2" s="301"/>
      <c r="I2" s="301"/>
      <c r="J2" s="301"/>
      <c r="K2" s="301"/>
      <c r="L2" s="301"/>
      <c r="M2" s="301"/>
    </row>
    <row r="3" spans="1:17" ht="12.75" customHeight="1" thickTop="1">
      <c r="A3" s="304"/>
      <c r="B3" s="2" t="s">
        <v>273</v>
      </c>
      <c r="C3" s="3"/>
      <c r="D3" s="3"/>
      <c r="E3" s="3"/>
      <c r="F3" s="80"/>
      <c r="G3" s="140">
        <v>2500</v>
      </c>
      <c r="H3" s="302"/>
      <c r="I3" s="302"/>
      <c r="J3" s="302"/>
      <c r="K3" s="302"/>
      <c r="L3" s="302"/>
      <c r="M3" s="302"/>
      <c r="N3" s="177"/>
      <c r="O3" s="177"/>
      <c r="P3" s="177"/>
      <c r="Q3" s="177"/>
    </row>
    <row r="4" spans="1:17" ht="12.75" customHeight="1">
      <c r="A4" s="304"/>
      <c r="B4" s="4"/>
      <c r="C4" s="5"/>
      <c r="D4" s="5"/>
      <c r="E4" s="5"/>
      <c r="F4" s="5"/>
      <c r="G4" s="6"/>
      <c r="H4" s="302"/>
      <c r="I4" s="302"/>
      <c r="J4" s="302"/>
      <c r="K4" s="302"/>
      <c r="L4" s="302"/>
      <c r="M4" s="302"/>
      <c r="N4" s="177"/>
      <c r="O4" s="177"/>
      <c r="P4" s="177"/>
      <c r="Q4" s="177"/>
    </row>
    <row r="5" spans="1:17" ht="12.75" customHeight="1">
      <c r="A5" s="304"/>
      <c r="B5" s="4" t="s">
        <v>274</v>
      </c>
      <c r="C5" s="5"/>
      <c r="D5" s="5"/>
      <c r="E5" s="5"/>
      <c r="F5" s="5"/>
      <c r="G5" s="141">
        <v>250</v>
      </c>
      <c r="H5" s="303"/>
      <c r="I5" s="303"/>
      <c r="J5" s="302"/>
      <c r="K5" s="302"/>
      <c r="L5" s="302"/>
      <c r="M5" s="302"/>
      <c r="N5" s="177"/>
      <c r="O5" s="177"/>
      <c r="P5" s="177"/>
      <c r="Q5" s="177"/>
    </row>
    <row r="6" spans="1:17" ht="12.75" customHeight="1">
      <c r="A6" s="304"/>
      <c r="B6" s="4"/>
      <c r="C6" s="5"/>
      <c r="D6" s="5"/>
      <c r="E6" s="5"/>
      <c r="F6" s="5"/>
      <c r="G6" s="6"/>
      <c r="H6" s="303"/>
      <c r="I6" s="303"/>
      <c r="J6" s="302"/>
      <c r="K6" s="302"/>
      <c r="L6" s="302"/>
      <c r="M6" s="302"/>
      <c r="N6" s="177"/>
      <c r="O6" s="177"/>
      <c r="P6" s="177"/>
      <c r="Q6" s="177"/>
    </row>
    <row r="7" spans="1:17" ht="12.75" customHeight="1">
      <c r="A7" s="304"/>
      <c r="B7" s="4" t="s">
        <v>299</v>
      </c>
      <c r="C7" s="5"/>
      <c r="D7" s="5"/>
      <c r="E7" s="5"/>
      <c r="F7" s="5"/>
      <c r="G7" s="141">
        <v>50</v>
      </c>
      <c r="H7" s="303" t="s">
        <v>1</v>
      </c>
      <c r="I7" s="303"/>
      <c r="J7" s="302"/>
      <c r="K7" s="302"/>
      <c r="L7" s="302"/>
      <c r="M7" s="302"/>
      <c r="N7" s="177"/>
      <c r="O7" s="177"/>
      <c r="P7" s="177"/>
      <c r="Q7" s="177"/>
    </row>
    <row r="8" spans="1:17" ht="12.75" customHeight="1">
      <c r="A8" s="304"/>
      <c r="B8" s="4"/>
      <c r="C8" s="5"/>
      <c r="D8" s="5"/>
      <c r="E8" s="5"/>
      <c r="F8" s="5"/>
      <c r="G8" s="6"/>
      <c r="H8" s="303"/>
      <c r="I8" s="303"/>
      <c r="J8" s="302"/>
      <c r="K8" s="302"/>
      <c r="L8" s="302"/>
      <c r="M8" s="302"/>
      <c r="N8" s="177"/>
      <c r="O8" s="177"/>
      <c r="P8" s="177"/>
      <c r="Q8" s="177"/>
    </row>
    <row r="9" spans="1:17" ht="12.75" customHeight="1">
      <c r="A9" s="304"/>
      <c r="B9" s="4" t="s">
        <v>275</v>
      </c>
      <c r="C9" s="5"/>
      <c r="D9" s="5"/>
      <c r="E9" s="5"/>
      <c r="F9" s="5"/>
      <c r="G9" s="87">
        <v>10</v>
      </c>
      <c r="H9" s="303"/>
      <c r="I9" s="303"/>
      <c r="J9" s="302"/>
      <c r="K9" s="302"/>
      <c r="L9" s="302"/>
      <c r="M9" s="302"/>
      <c r="N9" s="177"/>
      <c r="O9" s="177"/>
      <c r="P9" s="177"/>
      <c r="Q9" s="177"/>
    </row>
    <row r="10" spans="1:17" ht="12.75" customHeight="1">
      <c r="A10" s="304"/>
      <c r="B10" s="4"/>
      <c r="C10" s="5"/>
      <c r="D10" s="5"/>
      <c r="E10" s="5"/>
      <c r="F10" s="5"/>
      <c r="G10" s="6"/>
      <c r="H10" s="303"/>
      <c r="I10" s="303"/>
      <c r="J10" s="302"/>
      <c r="K10" s="302"/>
      <c r="L10" s="302"/>
      <c r="M10" s="302"/>
      <c r="N10" s="177"/>
      <c r="O10" s="177"/>
      <c r="P10" s="177"/>
      <c r="Q10" s="177"/>
    </row>
    <row r="11" spans="1:17" ht="12.75" customHeight="1">
      <c r="A11" s="304"/>
      <c r="B11" s="4" t="s">
        <v>276</v>
      </c>
      <c r="C11" s="5"/>
      <c r="D11" s="5"/>
      <c r="E11" s="5"/>
      <c r="F11" s="5"/>
      <c r="G11" s="97">
        <v>25</v>
      </c>
      <c r="H11" s="303"/>
      <c r="I11" s="303"/>
      <c r="J11" s="302"/>
      <c r="K11" s="302"/>
      <c r="L11" s="302"/>
      <c r="M11" s="302"/>
      <c r="N11" s="177"/>
      <c r="O11" s="177"/>
      <c r="P11" s="177"/>
      <c r="Q11" s="177"/>
    </row>
    <row r="12" spans="1:17" ht="12.75" customHeight="1">
      <c r="A12" s="304"/>
      <c r="B12" s="4"/>
      <c r="C12" s="5"/>
      <c r="D12" s="5"/>
      <c r="E12" s="5"/>
      <c r="F12" s="5"/>
      <c r="G12" s="6"/>
      <c r="H12" s="303"/>
      <c r="I12" s="303"/>
      <c r="J12" s="302"/>
      <c r="K12" s="302"/>
      <c r="L12" s="302"/>
      <c r="M12" s="302"/>
      <c r="N12" s="177"/>
      <c r="O12" s="177"/>
      <c r="P12" s="177"/>
      <c r="Q12" s="177"/>
    </row>
    <row r="13" spans="1:17" ht="12.75" customHeight="1">
      <c r="A13" s="304"/>
      <c r="B13" s="4" t="s">
        <v>277</v>
      </c>
      <c r="C13" s="5"/>
      <c r="D13" s="5"/>
      <c r="E13" s="5"/>
      <c r="F13" s="17"/>
      <c r="G13" s="82">
        <v>5</v>
      </c>
      <c r="H13" s="303"/>
      <c r="I13" s="303"/>
      <c r="J13" s="302"/>
      <c r="K13" s="302"/>
      <c r="L13" s="302"/>
      <c r="M13" s="302"/>
      <c r="N13" s="177"/>
      <c r="O13" s="177"/>
      <c r="P13" s="177"/>
      <c r="Q13" s="177"/>
    </row>
    <row r="14" spans="1:17" ht="12.75" customHeight="1">
      <c r="A14" s="304"/>
      <c r="B14" s="4"/>
      <c r="C14" s="5"/>
      <c r="D14" s="5"/>
      <c r="E14" s="5"/>
      <c r="F14" s="5"/>
      <c r="G14" s="71"/>
      <c r="H14" s="303"/>
      <c r="I14" s="303"/>
      <c r="J14" s="302"/>
      <c r="K14" s="302"/>
      <c r="L14" s="302"/>
      <c r="M14" s="302"/>
      <c r="N14" s="177"/>
      <c r="O14" s="177"/>
      <c r="P14" s="177"/>
      <c r="Q14" s="177"/>
    </row>
    <row r="15" spans="1:17" ht="12.75" customHeight="1" thickBot="1">
      <c r="A15" s="304"/>
      <c r="B15" s="4" t="s">
        <v>278</v>
      </c>
      <c r="C15" s="5"/>
      <c r="D15" s="5"/>
      <c r="E15" s="5"/>
      <c r="F15" s="17"/>
      <c r="G15" s="99">
        <v>5</v>
      </c>
      <c r="H15" s="303"/>
      <c r="I15" s="303"/>
      <c r="J15" s="302"/>
      <c r="K15" s="302"/>
      <c r="L15" s="302"/>
      <c r="M15" s="302"/>
      <c r="N15" s="177"/>
      <c r="O15" s="177"/>
      <c r="P15" s="177"/>
      <c r="Q15" s="177"/>
    </row>
    <row r="16" spans="1:17" ht="12.75" customHeight="1" thickTop="1">
      <c r="A16" s="304"/>
      <c r="B16" s="2"/>
      <c r="C16" s="3"/>
      <c r="D16" s="3"/>
      <c r="E16" s="3"/>
      <c r="F16" s="3"/>
      <c r="G16" s="13"/>
      <c r="H16" s="303"/>
      <c r="I16" s="303"/>
      <c r="J16" s="302"/>
      <c r="K16" s="302"/>
      <c r="L16" s="302"/>
      <c r="M16" s="302"/>
      <c r="N16" s="177"/>
      <c r="O16" s="177"/>
      <c r="P16" s="177"/>
      <c r="Q16" s="177"/>
    </row>
    <row r="17" spans="1:17" ht="12.75" customHeight="1">
      <c r="A17" s="304"/>
      <c r="B17" s="4" t="s">
        <v>571</v>
      </c>
      <c r="C17" s="5"/>
      <c r="D17" s="5"/>
      <c r="E17" s="5"/>
      <c r="F17" s="17"/>
      <c r="G17" s="244">
        <v>450</v>
      </c>
      <c r="H17" s="303"/>
      <c r="I17" s="303"/>
      <c r="J17" s="302"/>
      <c r="K17" s="302"/>
      <c r="L17" s="302"/>
      <c r="M17" s="302"/>
      <c r="N17" s="177"/>
      <c r="O17" s="177"/>
      <c r="P17" s="177"/>
      <c r="Q17" s="177"/>
    </row>
    <row r="18" spans="1:17" ht="12.75" customHeight="1">
      <c r="A18" s="304"/>
      <c r="B18" s="4"/>
      <c r="C18" s="5"/>
      <c r="D18" s="5"/>
      <c r="E18" s="5"/>
      <c r="F18" s="5"/>
      <c r="G18" s="96"/>
      <c r="H18" s="303"/>
      <c r="I18" s="303"/>
      <c r="J18" s="302"/>
      <c r="K18" s="302"/>
      <c r="L18" s="302"/>
      <c r="M18" s="302"/>
      <c r="N18" s="177"/>
      <c r="O18" s="177"/>
      <c r="P18" s="177"/>
      <c r="Q18" s="177"/>
    </row>
    <row r="19" spans="1:17" ht="12.75" customHeight="1">
      <c r="A19" s="304"/>
      <c r="B19" s="4" t="s">
        <v>572</v>
      </c>
      <c r="C19" s="5"/>
      <c r="D19" s="5"/>
      <c r="E19" s="5"/>
      <c r="F19" s="5"/>
      <c r="G19" s="102">
        <v>0.2</v>
      </c>
      <c r="H19" s="341"/>
      <c r="I19" s="303"/>
      <c r="J19" s="302"/>
      <c r="K19" s="302"/>
      <c r="L19" s="302"/>
      <c r="M19" s="302"/>
      <c r="N19" s="177"/>
      <c r="O19" s="177"/>
      <c r="P19" s="177"/>
      <c r="Q19" s="177"/>
    </row>
    <row r="20" spans="1:17" ht="12.75" customHeight="1">
      <c r="A20" s="304"/>
      <c r="B20" s="4"/>
      <c r="C20" s="5"/>
      <c r="D20" s="5"/>
      <c r="E20" s="5"/>
      <c r="F20" s="5"/>
      <c r="G20" s="96"/>
      <c r="H20" s="303"/>
      <c r="I20" s="303"/>
      <c r="J20" s="302"/>
      <c r="K20" s="302"/>
      <c r="L20" s="302"/>
      <c r="M20" s="302"/>
      <c r="N20" s="177"/>
      <c r="O20" s="177"/>
      <c r="P20" s="177"/>
      <c r="Q20" s="177"/>
    </row>
    <row r="21" spans="1:17" ht="12.75" customHeight="1">
      <c r="A21" s="304"/>
      <c r="B21" s="4" t="s">
        <v>306</v>
      </c>
      <c r="C21" s="5"/>
      <c r="D21" s="5"/>
      <c r="E21" s="5"/>
      <c r="F21" s="5"/>
      <c r="G21" s="102">
        <v>0.1</v>
      </c>
      <c r="H21" s="303"/>
      <c r="I21" s="340"/>
      <c r="J21" s="302"/>
      <c r="K21" s="302"/>
      <c r="L21" s="302"/>
      <c r="M21" s="302"/>
      <c r="N21" s="177"/>
      <c r="O21" s="177"/>
      <c r="P21" s="177"/>
      <c r="Q21" s="177"/>
    </row>
    <row r="22" spans="1:17" ht="12.75" customHeight="1">
      <c r="A22" s="304"/>
      <c r="B22" s="4"/>
      <c r="C22" s="5"/>
      <c r="D22" s="5"/>
      <c r="E22" s="5"/>
      <c r="F22" s="5"/>
      <c r="G22" s="96"/>
      <c r="H22" s="303"/>
      <c r="I22" s="303"/>
      <c r="J22" s="302"/>
      <c r="K22" s="302"/>
      <c r="L22" s="302"/>
      <c r="M22" s="302"/>
      <c r="N22" s="177"/>
      <c r="O22" s="177"/>
      <c r="P22" s="177"/>
      <c r="Q22" s="177"/>
    </row>
    <row r="23" spans="1:17" ht="12.75" customHeight="1">
      <c r="A23" s="304"/>
      <c r="B23" s="4" t="s">
        <v>279</v>
      </c>
      <c r="C23" s="5"/>
      <c r="D23" s="5"/>
      <c r="E23" s="5"/>
      <c r="F23" s="5"/>
      <c r="G23" s="97">
        <v>15</v>
      </c>
      <c r="H23" s="303"/>
      <c r="I23" s="303"/>
      <c r="J23" s="302"/>
      <c r="K23" s="302"/>
      <c r="L23" s="302"/>
      <c r="M23" s="302"/>
      <c r="N23" s="177"/>
      <c r="O23" s="177"/>
      <c r="P23" s="177"/>
      <c r="Q23" s="177"/>
    </row>
    <row r="24" spans="1:17" ht="12.75" customHeight="1">
      <c r="A24" s="304"/>
      <c r="B24" s="4"/>
      <c r="C24" s="5"/>
      <c r="D24" s="5"/>
      <c r="E24" s="5"/>
      <c r="F24" s="5"/>
      <c r="G24" s="6"/>
      <c r="H24" s="303"/>
      <c r="I24" s="303"/>
      <c r="J24" s="302"/>
      <c r="K24" s="302"/>
      <c r="L24" s="302"/>
      <c r="M24" s="302"/>
      <c r="N24" s="177"/>
      <c r="O24" s="177"/>
      <c r="P24" s="177"/>
      <c r="Q24" s="177"/>
    </row>
    <row r="25" spans="1:17" ht="19.5" customHeight="1" thickBot="1">
      <c r="A25" s="304"/>
      <c r="B25" s="4" t="s">
        <v>573</v>
      </c>
      <c r="C25" s="5"/>
      <c r="D25" s="5"/>
      <c r="E25" s="5"/>
      <c r="F25" s="5"/>
      <c r="G25" s="6"/>
      <c r="H25" s="303"/>
      <c r="I25" s="303"/>
      <c r="J25" s="302"/>
      <c r="K25" s="302"/>
      <c r="L25" s="302"/>
      <c r="M25" s="302"/>
      <c r="N25" s="177"/>
      <c r="O25" s="177"/>
      <c r="P25" s="177"/>
      <c r="Q25" s="177"/>
    </row>
    <row r="26" spans="1:17" ht="12.75" customHeight="1" thickTop="1">
      <c r="A26" s="304"/>
      <c r="B26" s="2"/>
      <c r="C26" s="3"/>
      <c r="D26" s="3"/>
      <c r="E26" s="3"/>
      <c r="F26" s="3"/>
      <c r="G26" s="13"/>
      <c r="H26" s="303"/>
      <c r="I26" s="303"/>
      <c r="J26" s="302"/>
      <c r="K26" s="302"/>
      <c r="L26" s="302"/>
      <c r="M26" s="302"/>
      <c r="N26" s="177"/>
      <c r="O26" s="177"/>
      <c r="P26" s="177"/>
      <c r="Q26" s="177"/>
    </row>
    <row r="27" spans="1:17" ht="19.5" customHeight="1">
      <c r="A27" s="304"/>
      <c r="B27" s="4" t="s">
        <v>280</v>
      </c>
      <c r="C27" s="5"/>
      <c r="D27" s="5"/>
      <c r="E27" s="5"/>
      <c r="F27" s="5"/>
      <c r="G27" s="6"/>
      <c r="H27" s="303" t="s">
        <v>1</v>
      </c>
      <c r="I27" s="303"/>
      <c r="J27" s="302"/>
      <c r="K27" s="302"/>
      <c r="L27" s="302"/>
      <c r="M27" s="302"/>
      <c r="N27" s="177"/>
      <c r="O27" s="177"/>
      <c r="P27" s="177"/>
      <c r="Q27" s="177"/>
    </row>
    <row r="28" spans="1:17" ht="12.75" customHeight="1">
      <c r="A28" s="304"/>
      <c r="B28" s="4"/>
      <c r="C28" s="5"/>
      <c r="D28" s="5"/>
      <c r="E28" s="5"/>
      <c r="F28" s="5"/>
      <c r="G28" s="6"/>
      <c r="H28" s="303"/>
      <c r="I28" s="303"/>
      <c r="J28" s="302"/>
      <c r="K28" s="302"/>
      <c r="L28" s="302"/>
      <c r="M28" s="302"/>
      <c r="N28" s="177"/>
      <c r="O28" s="177"/>
      <c r="P28" s="177"/>
      <c r="Q28" s="177"/>
    </row>
    <row r="29" spans="1:17" ht="19.5" customHeight="1">
      <c r="A29" s="304"/>
      <c r="B29" s="4" t="s">
        <v>574</v>
      </c>
      <c r="C29" s="5"/>
      <c r="D29" s="5"/>
      <c r="E29" s="5"/>
      <c r="F29" s="5"/>
      <c r="G29" s="6"/>
      <c r="H29" s="303" t="s">
        <v>1</v>
      </c>
      <c r="I29" s="303"/>
      <c r="J29" s="302"/>
      <c r="K29" s="302"/>
      <c r="L29" s="302"/>
      <c r="M29" s="302"/>
      <c r="N29" s="177"/>
      <c r="O29" s="177"/>
      <c r="P29" s="177"/>
      <c r="Q29" s="177"/>
    </row>
    <row r="30" spans="1:17" ht="12.75" customHeight="1">
      <c r="A30" s="304"/>
      <c r="B30" s="4"/>
      <c r="C30" s="5"/>
      <c r="D30" s="5"/>
      <c r="E30" s="5"/>
      <c r="F30" s="5"/>
      <c r="G30" s="6"/>
      <c r="H30" s="303"/>
      <c r="I30" s="303"/>
      <c r="J30" s="302"/>
      <c r="K30" s="302"/>
      <c r="L30" s="302"/>
      <c r="M30" s="302"/>
      <c r="N30" s="177"/>
      <c r="O30" s="177"/>
      <c r="P30" s="177"/>
      <c r="Q30" s="177"/>
    </row>
    <row r="31" spans="1:17" ht="19.5" customHeight="1">
      <c r="A31" s="304"/>
      <c r="B31" s="4" t="s">
        <v>281</v>
      </c>
      <c r="C31" s="5"/>
      <c r="D31" s="5"/>
      <c r="E31" s="5"/>
      <c r="F31" s="5"/>
      <c r="G31" s="6"/>
      <c r="H31" s="303"/>
      <c r="I31" s="303"/>
      <c r="J31" s="302"/>
      <c r="K31" s="302"/>
      <c r="L31" s="302"/>
      <c r="M31" s="302"/>
      <c r="N31" s="177"/>
      <c r="O31" s="177"/>
      <c r="P31" s="177"/>
      <c r="Q31" s="177"/>
    </row>
    <row r="32" spans="1:17" ht="12.75" customHeight="1">
      <c r="A32" s="304"/>
      <c r="B32" s="4"/>
      <c r="C32" s="5"/>
      <c r="D32" s="5"/>
      <c r="E32" s="5"/>
      <c r="F32" s="5"/>
      <c r="G32" s="6"/>
      <c r="H32" s="303"/>
      <c r="I32" s="303"/>
      <c r="J32" s="302"/>
      <c r="K32" s="302"/>
      <c r="L32" s="302"/>
      <c r="M32" s="302"/>
      <c r="N32" s="177"/>
      <c r="O32" s="177"/>
      <c r="P32" s="177"/>
      <c r="Q32" s="177"/>
    </row>
    <row r="33" spans="1:17" ht="12.75" customHeight="1" thickBot="1">
      <c r="A33" s="304"/>
      <c r="B33" s="4" t="s">
        <v>575</v>
      </c>
      <c r="C33" s="5"/>
      <c r="D33" s="5"/>
      <c r="E33" s="5"/>
      <c r="F33" s="5"/>
      <c r="G33" s="176">
        <v>1000</v>
      </c>
      <c r="H33" s="303" t="s">
        <v>1</v>
      </c>
      <c r="I33" s="303"/>
      <c r="J33" s="302"/>
      <c r="K33" s="302"/>
      <c r="L33" s="302"/>
      <c r="M33" s="302"/>
      <c r="N33" s="177"/>
      <c r="O33" s="177"/>
      <c r="P33" s="177"/>
      <c r="Q33" s="177"/>
    </row>
    <row r="34" spans="1:17" ht="12.75" customHeight="1" thickTop="1">
      <c r="A34" s="304"/>
      <c r="B34" s="2"/>
      <c r="C34" s="3"/>
      <c r="D34" s="3"/>
      <c r="E34" s="3"/>
      <c r="F34" s="3"/>
      <c r="G34" s="6"/>
      <c r="H34" s="302"/>
      <c r="I34" s="302"/>
      <c r="J34" s="302"/>
      <c r="K34" s="302"/>
      <c r="L34" s="302"/>
      <c r="M34" s="302"/>
      <c r="N34" s="177"/>
      <c r="O34" s="177"/>
      <c r="P34" s="177"/>
      <c r="Q34" s="177"/>
    </row>
    <row r="35" spans="1:17" ht="12.75" customHeight="1">
      <c r="A35" s="304"/>
      <c r="B35" s="4" t="s">
        <v>282</v>
      </c>
      <c r="C35" s="5"/>
      <c r="D35" s="5"/>
      <c r="E35" s="5"/>
      <c r="F35" s="17"/>
      <c r="G35" s="83">
        <v>0.45</v>
      </c>
      <c r="H35" s="302"/>
      <c r="I35" s="302"/>
      <c r="J35" s="302"/>
      <c r="K35" s="302"/>
      <c r="L35" s="302"/>
      <c r="M35" s="302"/>
      <c r="N35" s="177"/>
      <c r="O35" s="177"/>
      <c r="P35" s="177"/>
      <c r="Q35" s="177"/>
    </row>
    <row r="36" spans="1:17" ht="12.75" customHeight="1">
      <c r="A36" s="304"/>
      <c r="B36" s="4"/>
      <c r="C36" s="5"/>
      <c r="D36" s="5"/>
      <c r="E36" s="5"/>
      <c r="F36" s="5"/>
      <c r="G36" s="6"/>
      <c r="H36" s="302"/>
      <c r="I36" s="302"/>
      <c r="J36" s="302"/>
      <c r="K36" s="302"/>
      <c r="L36" s="302"/>
      <c r="M36" s="302"/>
      <c r="N36" s="177"/>
      <c r="O36" s="177"/>
      <c r="P36" s="177"/>
      <c r="Q36" s="177"/>
    </row>
    <row r="37" spans="1:17" ht="12.75" customHeight="1">
      <c r="A37" s="304"/>
      <c r="B37" s="4" t="s">
        <v>283</v>
      </c>
      <c r="C37" s="5"/>
      <c r="D37" s="5"/>
      <c r="E37" s="5"/>
      <c r="F37" s="5"/>
      <c r="G37" s="102">
        <v>0.55</v>
      </c>
      <c r="H37" s="302"/>
      <c r="I37" s="302"/>
      <c r="J37" s="302"/>
      <c r="K37" s="302"/>
      <c r="L37" s="302"/>
      <c r="M37" s="302"/>
      <c r="N37" s="177"/>
      <c r="O37" s="177"/>
      <c r="P37" s="177"/>
      <c r="Q37" s="177"/>
    </row>
    <row r="38" spans="1:17" ht="12.75" customHeight="1">
      <c r="A38" s="304"/>
      <c r="B38" s="4"/>
      <c r="C38" s="5"/>
      <c r="D38" s="5"/>
      <c r="E38" s="5"/>
      <c r="F38" s="5"/>
      <c r="G38" s="6"/>
      <c r="H38" s="302"/>
      <c r="I38" s="302"/>
      <c r="J38" s="302"/>
      <c r="K38" s="302"/>
      <c r="L38" s="302"/>
      <c r="M38" s="302"/>
      <c r="N38" s="177"/>
      <c r="O38" s="177"/>
      <c r="P38" s="177"/>
      <c r="Q38" s="177"/>
    </row>
    <row r="39" spans="1:17" ht="12.75" customHeight="1">
      <c r="A39" s="304"/>
      <c r="B39" s="4" t="s">
        <v>284</v>
      </c>
      <c r="C39" s="5"/>
      <c r="D39" s="5"/>
      <c r="E39" s="5"/>
      <c r="F39" s="5"/>
      <c r="G39" s="102">
        <v>0.68</v>
      </c>
      <c r="H39" s="302"/>
      <c r="I39" s="302"/>
      <c r="J39" s="302"/>
      <c r="K39" s="302"/>
      <c r="L39" s="302"/>
      <c r="M39" s="302"/>
      <c r="N39" s="177"/>
      <c r="O39" s="177"/>
      <c r="P39" s="177"/>
      <c r="Q39" s="177"/>
    </row>
    <row r="40" spans="1:17" ht="12.75" customHeight="1">
      <c r="A40" s="304"/>
      <c r="B40" s="4"/>
      <c r="C40" s="5"/>
      <c r="D40" s="5"/>
      <c r="E40" s="5"/>
      <c r="F40" s="5"/>
      <c r="G40" s="6" t="s">
        <v>1</v>
      </c>
      <c r="H40" s="302"/>
      <c r="I40" s="302"/>
      <c r="J40" s="302"/>
      <c r="K40" s="302"/>
      <c r="L40" s="302"/>
      <c r="M40" s="302"/>
      <c r="N40" s="177"/>
      <c r="O40" s="177"/>
      <c r="P40" s="177"/>
      <c r="Q40" s="177"/>
    </row>
    <row r="41" spans="1:17" ht="12.75" customHeight="1">
      <c r="A41" s="304"/>
      <c r="B41" s="4" t="s">
        <v>285</v>
      </c>
      <c r="C41" s="5"/>
      <c r="D41" s="5"/>
      <c r="E41" s="5"/>
      <c r="F41" s="17"/>
      <c r="G41" s="83">
        <v>0.5</v>
      </c>
      <c r="H41" s="302"/>
      <c r="I41" s="302"/>
      <c r="J41" s="302"/>
      <c r="K41" s="302"/>
      <c r="L41" s="302"/>
      <c r="M41" s="302"/>
      <c r="N41" s="177"/>
      <c r="O41" s="177"/>
      <c r="P41" s="177"/>
      <c r="Q41" s="177"/>
    </row>
    <row r="42" spans="1:17" ht="12.75" customHeight="1">
      <c r="A42" s="304"/>
      <c r="B42" s="4"/>
      <c r="C42" s="5"/>
      <c r="D42" s="5"/>
      <c r="E42" s="5"/>
      <c r="F42" s="5"/>
      <c r="G42" s="6"/>
      <c r="H42" s="302"/>
      <c r="I42" s="302"/>
      <c r="J42" s="302"/>
      <c r="K42" s="302"/>
      <c r="L42" s="302"/>
      <c r="M42" s="302"/>
      <c r="N42" s="177"/>
      <c r="O42" s="177"/>
      <c r="P42" s="177"/>
      <c r="Q42" s="177"/>
    </row>
    <row r="43" spans="1:17" ht="12.75" customHeight="1">
      <c r="A43" s="304"/>
      <c r="B43" s="4" t="s">
        <v>286</v>
      </c>
      <c r="C43" s="5"/>
      <c r="D43" s="5"/>
      <c r="E43" s="5"/>
      <c r="F43" s="17"/>
      <c r="G43" s="84">
        <v>3</v>
      </c>
      <c r="H43" s="302"/>
      <c r="I43" s="302"/>
      <c r="J43" s="302"/>
      <c r="K43" s="302"/>
      <c r="L43" s="302"/>
      <c r="M43" s="302"/>
      <c r="N43" s="177"/>
      <c r="O43" s="177"/>
      <c r="P43" s="177"/>
      <c r="Q43" s="177"/>
    </row>
    <row r="44" spans="1:17" ht="12.75" customHeight="1">
      <c r="A44" s="304"/>
      <c r="B44" s="4"/>
      <c r="C44" s="5"/>
      <c r="D44" s="5"/>
      <c r="E44" s="5"/>
      <c r="F44" s="5"/>
      <c r="G44" s="6"/>
      <c r="H44" s="302"/>
      <c r="I44" s="302"/>
      <c r="J44" s="302"/>
      <c r="K44" s="302"/>
      <c r="L44" s="302"/>
      <c r="M44" s="302"/>
      <c r="N44" s="177"/>
      <c r="O44" s="177"/>
      <c r="P44" s="177"/>
      <c r="Q44" s="177"/>
    </row>
    <row r="45" spans="1:17" ht="12.75" customHeight="1">
      <c r="A45" s="304"/>
      <c r="B45" s="4" t="s">
        <v>287</v>
      </c>
      <c r="C45" s="5"/>
      <c r="D45" s="5"/>
      <c r="E45" s="5"/>
      <c r="F45" s="5"/>
      <c r="G45" s="87">
        <v>6</v>
      </c>
      <c r="H45" s="302"/>
      <c r="I45" s="302"/>
      <c r="J45" s="302"/>
      <c r="K45" s="302"/>
      <c r="L45" s="302"/>
      <c r="M45" s="302"/>
      <c r="N45" s="177"/>
      <c r="O45" s="177"/>
      <c r="P45" s="177"/>
      <c r="Q45" s="177"/>
    </row>
    <row r="46" spans="1:17" ht="12.75" customHeight="1" thickBot="1">
      <c r="A46" s="304"/>
      <c r="B46" s="4"/>
      <c r="C46" s="5"/>
      <c r="D46" s="5"/>
      <c r="E46" s="5"/>
      <c r="F46" s="5"/>
      <c r="G46" s="6"/>
      <c r="H46" s="302"/>
      <c r="I46" s="302"/>
      <c r="J46" s="302"/>
      <c r="K46" s="302"/>
      <c r="L46" s="302"/>
      <c r="M46" s="302"/>
      <c r="N46" s="177"/>
      <c r="O46" s="177"/>
      <c r="P46" s="177"/>
      <c r="Q46" s="177"/>
    </row>
    <row r="47" spans="1:17" ht="12.75" customHeight="1">
      <c r="A47" s="304"/>
      <c r="B47" s="4" t="s">
        <v>288</v>
      </c>
      <c r="C47" s="5"/>
      <c r="D47" s="5"/>
      <c r="E47" s="116"/>
      <c r="F47" s="118" t="s">
        <v>232</v>
      </c>
      <c r="G47" s="119" t="s">
        <v>233</v>
      </c>
      <c r="H47" s="302"/>
      <c r="I47" s="302"/>
      <c r="J47" s="302"/>
      <c r="K47" s="302"/>
      <c r="L47" s="302"/>
      <c r="M47" s="302"/>
      <c r="N47" s="177"/>
      <c r="O47" s="177"/>
      <c r="P47" s="177"/>
      <c r="Q47" s="177"/>
    </row>
    <row r="48" spans="1:17" ht="12.75">
      <c r="A48" s="304"/>
      <c r="B48" s="4"/>
      <c r="C48" s="5"/>
      <c r="D48" s="5"/>
      <c r="E48" s="120" t="s">
        <v>20</v>
      </c>
      <c r="F48" s="178">
        <v>0</v>
      </c>
      <c r="G48" s="129"/>
      <c r="H48" s="302"/>
      <c r="I48" s="302"/>
      <c r="J48" s="302"/>
      <c r="K48" s="302"/>
      <c r="L48" s="302"/>
      <c r="M48" s="302"/>
      <c r="N48" s="177"/>
      <c r="O48" s="177"/>
      <c r="P48" s="177"/>
      <c r="Q48" s="177"/>
    </row>
    <row r="49" spans="1:17" ht="12.75">
      <c r="A49" s="304"/>
      <c r="B49" s="4"/>
      <c r="C49" s="5"/>
      <c r="D49" s="5"/>
      <c r="E49" s="120" t="s">
        <v>234</v>
      </c>
      <c r="F49" s="178">
        <v>2</v>
      </c>
      <c r="G49" s="129"/>
      <c r="H49" s="302"/>
      <c r="I49" s="302"/>
      <c r="J49" s="302"/>
      <c r="K49" s="302"/>
      <c r="L49" s="302"/>
      <c r="M49" s="302"/>
      <c r="N49" s="177"/>
      <c r="O49" s="177"/>
      <c r="P49" s="177"/>
      <c r="Q49" s="177"/>
    </row>
    <row r="50" spans="1:17" ht="12.75">
      <c r="A50" s="304"/>
      <c r="B50" s="4"/>
      <c r="C50" s="5"/>
      <c r="D50" s="5"/>
      <c r="E50" s="120" t="s">
        <v>14</v>
      </c>
      <c r="F50" s="178">
        <v>4</v>
      </c>
      <c r="G50" s="180">
        <v>3</v>
      </c>
      <c r="H50" s="302"/>
      <c r="I50" s="302"/>
      <c r="J50" s="302"/>
      <c r="K50" s="302"/>
      <c r="L50" s="302"/>
      <c r="M50" s="302"/>
      <c r="N50" s="177"/>
      <c r="O50" s="177"/>
      <c r="P50" s="177"/>
      <c r="Q50" s="177"/>
    </row>
    <row r="51" spans="1:17" ht="12.75">
      <c r="A51" s="304"/>
      <c r="B51" s="4"/>
      <c r="C51" s="5"/>
      <c r="D51" s="5"/>
      <c r="E51" s="120" t="s">
        <v>185</v>
      </c>
      <c r="F51" s="178"/>
      <c r="G51" s="180">
        <v>0</v>
      </c>
      <c r="H51" s="302"/>
      <c r="I51" s="302"/>
      <c r="J51" s="302"/>
      <c r="K51" s="302"/>
      <c r="L51" s="302"/>
      <c r="M51" s="302"/>
      <c r="N51" s="177"/>
      <c r="O51" s="177"/>
      <c r="P51" s="177"/>
      <c r="Q51" s="177"/>
    </row>
    <row r="52" spans="1:17" ht="13.5" thickBot="1">
      <c r="A52" s="304"/>
      <c r="B52" s="4"/>
      <c r="C52" s="5"/>
      <c r="D52" s="5"/>
      <c r="E52" s="117" t="s">
        <v>186</v>
      </c>
      <c r="F52" s="179"/>
      <c r="G52" s="181">
        <v>0</v>
      </c>
      <c r="H52" s="302"/>
      <c r="I52" s="302"/>
      <c r="J52" s="302"/>
      <c r="K52" s="302"/>
      <c r="L52" s="302"/>
      <c r="M52" s="302"/>
      <c r="N52" s="177"/>
      <c r="O52" s="177"/>
      <c r="P52" s="177"/>
      <c r="Q52" s="177"/>
    </row>
    <row r="53" spans="1:17" ht="19.5" customHeight="1" thickBot="1">
      <c r="A53" s="304"/>
      <c r="B53" s="4" t="s">
        <v>576</v>
      </c>
      <c r="C53" s="5"/>
      <c r="D53" s="5"/>
      <c r="E53" s="5"/>
      <c r="F53" s="5"/>
      <c r="G53" s="6"/>
      <c r="H53" s="302"/>
      <c r="I53" s="302"/>
      <c r="J53" s="302"/>
      <c r="K53" s="302"/>
      <c r="L53" s="302"/>
      <c r="M53" s="302"/>
      <c r="N53" s="177"/>
      <c r="O53" s="177"/>
      <c r="P53" s="177"/>
      <c r="Q53" s="177"/>
    </row>
    <row r="54" spans="1:17" ht="12.75" customHeight="1" thickTop="1">
      <c r="A54" s="301"/>
      <c r="B54" s="2"/>
      <c r="C54" s="3"/>
      <c r="D54" s="3"/>
      <c r="E54" s="3"/>
      <c r="F54" s="3"/>
      <c r="G54" s="13"/>
      <c r="H54" s="302"/>
      <c r="I54" s="302"/>
      <c r="J54" s="302"/>
      <c r="K54" s="302"/>
      <c r="L54" s="302"/>
      <c r="M54" s="302"/>
      <c r="N54" s="177"/>
      <c r="O54" s="177"/>
      <c r="P54" s="177"/>
      <c r="Q54" s="177"/>
    </row>
    <row r="55" spans="1:17" ht="12.75">
      <c r="A55" s="301"/>
      <c r="B55" s="4"/>
      <c r="C55" s="5"/>
      <c r="D55" s="5"/>
      <c r="E55" s="5"/>
      <c r="F55" s="5"/>
      <c r="G55" s="6"/>
      <c r="H55" s="302"/>
      <c r="I55" s="302"/>
      <c r="J55" s="302"/>
      <c r="K55" s="302"/>
      <c r="L55" s="302"/>
      <c r="M55" s="302"/>
      <c r="N55" s="177"/>
      <c r="O55" s="177"/>
      <c r="P55" s="177"/>
      <c r="Q55" s="177"/>
    </row>
    <row r="56" spans="1:17" ht="13.5" thickBot="1">
      <c r="A56" s="301"/>
      <c r="B56" s="4"/>
      <c r="C56" s="5"/>
      <c r="D56" s="5"/>
      <c r="E56" s="5"/>
      <c r="F56" s="5"/>
      <c r="G56" s="6"/>
      <c r="H56" s="302"/>
      <c r="I56" s="302"/>
      <c r="J56" s="302"/>
      <c r="K56" s="302"/>
      <c r="L56" s="302"/>
      <c r="M56" s="302"/>
      <c r="N56" s="177"/>
      <c r="O56" s="177"/>
      <c r="P56" s="177"/>
      <c r="Q56" s="177"/>
    </row>
    <row r="57" spans="1:17" ht="14.25" thickBot="1" thickTop="1">
      <c r="A57" s="301"/>
      <c r="B57" s="4"/>
      <c r="C57" s="8"/>
      <c r="D57" s="349" t="s">
        <v>528</v>
      </c>
      <c r="E57" s="350"/>
      <c r="F57" s="250"/>
      <c r="G57" s="6"/>
      <c r="H57" s="302"/>
      <c r="I57" s="302"/>
      <c r="J57" s="302"/>
      <c r="K57" s="302"/>
      <c r="L57" s="302"/>
      <c r="M57" s="302"/>
      <c r="N57" s="177"/>
      <c r="O57" s="177"/>
      <c r="P57" s="177"/>
      <c r="Q57" s="177"/>
    </row>
    <row r="58" spans="1:17" ht="14.25" thickBot="1" thickTop="1">
      <c r="A58" s="301"/>
      <c r="B58" s="214" t="s">
        <v>335</v>
      </c>
      <c r="C58" s="215"/>
      <c r="D58" s="215"/>
      <c r="E58" s="247">
        <v>1</v>
      </c>
      <c r="F58" s="251"/>
      <c r="G58" s="6"/>
      <c r="H58" s="302"/>
      <c r="I58" s="302"/>
      <c r="J58" s="302"/>
      <c r="K58" s="302"/>
      <c r="L58" s="302"/>
      <c r="M58" s="302"/>
      <c r="N58" s="177"/>
      <c r="O58" s="177"/>
      <c r="P58" s="177"/>
      <c r="Q58" s="177"/>
    </row>
    <row r="59" spans="1:17" ht="14.25" thickBot="1" thickTop="1">
      <c r="A59" s="301"/>
      <c r="B59" s="216" t="s">
        <v>603</v>
      </c>
      <c r="C59" s="217"/>
      <c r="D59" s="217"/>
      <c r="E59" s="248">
        <f>Reports!D29*100/Reports!C29/100</f>
        <v>0.9143055932382324</v>
      </c>
      <c r="F59" s="4"/>
      <c r="G59" s="6"/>
      <c r="H59" s="302"/>
      <c r="I59" s="302"/>
      <c r="J59" s="302"/>
      <c r="K59" s="302"/>
      <c r="L59" s="302"/>
      <c r="M59" s="302"/>
      <c r="N59" s="177"/>
      <c r="O59" s="177"/>
      <c r="P59" s="177"/>
      <c r="Q59" s="177"/>
    </row>
    <row r="60" spans="1:13" ht="14.25" thickBot="1" thickTop="1">
      <c r="A60" s="301"/>
      <c r="B60" s="218" t="s">
        <v>303</v>
      </c>
      <c r="C60" s="219"/>
      <c r="D60" s="219"/>
      <c r="E60" s="249">
        <f>Reports!E29*100/Reports!C29/100</f>
        <v>0.6453204825445514</v>
      </c>
      <c r="F60" s="7"/>
      <c r="G60" s="9"/>
      <c r="H60" s="301"/>
      <c r="I60" s="301"/>
      <c r="J60" s="301"/>
      <c r="K60" s="301"/>
      <c r="L60" s="301"/>
      <c r="M60" s="301"/>
    </row>
    <row r="61" spans="1:13" ht="13.5" thickTop="1">
      <c r="A61" s="301"/>
      <c r="B61" s="301"/>
      <c r="C61" s="301"/>
      <c r="D61" s="301"/>
      <c r="E61" s="301"/>
      <c r="F61" s="301"/>
      <c r="G61" s="301"/>
      <c r="H61" s="301"/>
      <c r="I61" s="301"/>
      <c r="J61" s="301"/>
      <c r="K61" s="301"/>
      <c r="L61" s="301"/>
      <c r="M61" s="301"/>
    </row>
    <row r="62" spans="1:13" ht="12.75">
      <c r="A62" s="301"/>
      <c r="B62" s="351" t="s">
        <v>627</v>
      </c>
      <c r="C62" s="351"/>
      <c r="D62" s="351"/>
      <c r="E62" s="351"/>
      <c r="F62" s="351"/>
      <c r="G62" s="351"/>
      <c r="H62" s="301"/>
      <c r="I62" s="301"/>
      <c r="J62" s="301"/>
      <c r="K62" s="301"/>
      <c r="L62" s="301"/>
      <c r="M62" s="301"/>
    </row>
    <row r="63" spans="1:13" ht="12.75">
      <c r="A63" s="301"/>
      <c r="B63" s="301"/>
      <c r="C63" s="301"/>
      <c r="D63" s="301"/>
      <c r="E63" s="301"/>
      <c r="F63" s="301"/>
      <c r="G63" s="301"/>
      <c r="H63" s="301"/>
      <c r="I63" s="301"/>
      <c r="J63" s="301"/>
      <c r="K63" s="301"/>
      <c r="L63" s="301"/>
      <c r="M63" s="301"/>
    </row>
    <row r="64" spans="1:13" ht="12.75">
      <c r="A64" s="301"/>
      <c r="B64" s="301"/>
      <c r="C64" s="301"/>
      <c r="D64" s="301"/>
      <c r="E64" s="301"/>
      <c r="F64" s="301"/>
      <c r="G64" s="301"/>
      <c r="H64" s="301"/>
      <c r="I64" s="301"/>
      <c r="J64" s="301"/>
      <c r="K64" s="301"/>
      <c r="L64" s="301"/>
      <c r="M64" s="301"/>
    </row>
    <row r="65" spans="1:13" ht="12.75">
      <c r="A65" s="301"/>
      <c r="B65" s="301"/>
      <c r="C65" s="301"/>
      <c r="D65" s="301"/>
      <c r="E65" s="301"/>
      <c r="F65" s="301"/>
      <c r="G65" s="301"/>
      <c r="H65" s="301"/>
      <c r="I65" s="301"/>
      <c r="J65" s="301"/>
      <c r="K65" s="301"/>
      <c r="L65" s="301"/>
      <c r="M65" s="301"/>
    </row>
    <row r="66" spans="1:13" ht="12.75">
      <c r="A66" s="301"/>
      <c r="B66" s="301"/>
      <c r="C66" s="301"/>
      <c r="D66" s="301"/>
      <c r="E66" s="301"/>
      <c r="F66" s="301"/>
      <c r="G66" s="301"/>
      <c r="H66" s="301"/>
      <c r="I66" s="301"/>
      <c r="J66" s="301"/>
      <c r="K66" s="301"/>
      <c r="L66" s="301"/>
      <c r="M66" s="301"/>
    </row>
    <row r="67" spans="1:13" ht="12.75">
      <c r="A67" s="301"/>
      <c r="B67" s="301"/>
      <c r="C67" s="301"/>
      <c r="D67" s="301"/>
      <c r="E67" s="301"/>
      <c r="F67" s="301"/>
      <c r="G67" s="301"/>
      <c r="H67" s="301"/>
      <c r="I67" s="301"/>
      <c r="J67" s="301"/>
      <c r="K67" s="301"/>
      <c r="L67" s="301"/>
      <c r="M67" s="301"/>
    </row>
    <row r="68" spans="1:13" ht="12.75">
      <c r="A68" s="301"/>
      <c r="B68" s="301"/>
      <c r="C68" s="301"/>
      <c r="D68" s="301"/>
      <c r="E68" s="301"/>
      <c r="F68" s="301"/>
      <c r="G68" s="301"/>
      <c r="H68" s="301"/>
      <c r="I68" s="301"/>
      <c r="J68" s="301"/>
      <c r="K68" s="301"/>
      <c r="L68" s="301"/>
      <c r="M68" s="301"/>
    </row>
    <row r="69" spans="1:13" ht="12.75">
      <c r="A69" s="301"/>
      <c r="B69" s="301"/>
      <c r="C69" s="301"/>
      <c r="D69" s="301"/>
      <c r="E69" s="301"/>
      <c r="F69" s="301"/>
      <c r="G69" s="301"/>
      <c r="H69" s="301"/>
      <c r="I69" s="301"/>
      <c r="J69" s="301"/>
      <c r="K69" s="301"/>
      <c r="L69" s="301"/>
      <c r="M69" s="301"/>
    </row>
    <row r="70" spans="1:13" ht="12.75">
      <c r="A70" s="301"/>
      <c r="B70" s="301"/>
      <c r="C70" s="301"/>
      <c r="D70" s="301"/>
      <c r="E70" s="301"/>
      <c r="F70" s="301"/>
      <c r="G70" s="301"/>
      <c r="H70" s="301"/>
      <c r="I70" s="301"/>
      <c r="J70" s="301"/>
      <c r="K70" s="301"/>
      <c r="L70" s="301"/>
      <c r="M70" s="301"/>
    </row>
    <row r="71" spans="1:13" ht="12.75">
      <c r="A71" s="301"/>
      <c r="B71" s="301"/>
      <c r="C71" s="301"/>
      <c r="D71" s="301"/>
      <c r="E71" s="301"/>
      <c r="F71" s="301"/>
      <c r="G71" s="301"/>
      <c r="H71" s="301"/>
      <c r="I71" s="301"/>
      <c r="J71" s="301"/>
      <c r="K71" s="301"/>
      <c r="L71" s="301"/>
      <c r="M71" s="301"/>
    </row>
    <row r="72" spans="1:13" ht="12.75">
      <c r="A72" s="301"/>
      <c r="B72" s="301"/>
      <c r="C72" s="301"/>
      <c r="D72" s="301"/>
      <c r="E72" s="301"/>
      <c r="F72" s="301"/>
      <c r="G72" s="301"/>
      <c r="H72" s="301"/>
      <c r="I72" s="301"/>
      <c r="J72" s="301"/>
      <c r="K72" s="301"/>
      <c r="L72" s="301"/>
      <c r="M72" s="301"/>
    </row>
  </sheetData>
  <sheetProtection password="D387" sheet="1" objects="1" scenarios="1"/>
  <mergeCells count="2">
    <mergeCell ref="D57:E57"/>
    <mergeCell ref="B62:G62"/>
  </mergeCells>
  <printOptions/>
  <pageMargins left="0.75" right="0.75" top="1" bottom="1" header="0.5" footer="0.5"/>
  <pageSetup fitToHeight="1" fitToWidth="1" horizontalDpi="600" verticalDpi="600" orientation="portrait" scale="79" r:id="rId3"/>
  <headerFooter alignWithMargins="0">
    <oddHeader>&amp;CTotal Cost of Application Ownership (TCA) Calculator</oddHeader>
    <oddFooter>&amp;LThe Tolly Group TCA Calculator
&amp;P&amp;D&amp;T&amp;R© The Tolly Group, 1999</oddFooter>
  </headerFooter>
  <legacyDrawing r:id="rId2"/>
</worksheet>
</file>

<file path=xl/worksheets/sheet10.xml><?xml version="1.0" encoding="utf-8"?>
<worksheet xmlns="http://schemas.openxmlformats.org/spreadsheetml/2006/main" xmlns:r="http://schemas.openxmlformats.org/officeDocument/2006/relationships">
  <sheetPr codeName="Sheet141">
    <pageSetUpPr fitToPage="1"/>
  </sheetPr>
  <dimension ref="A1:P34"/>
  <sheetViews>
    <sheetView showRowColHeaders="0" workbookViewId="0" topLeftCell="A1">
      <selection activeCell="A1" sqref="A1"/>
    </sheetView>
  </sheetViews>
  <sheetFormatPr defaultColWidth="9.140625" defaultRowHeight="12.75"/>
  <cols>
    <col min="3" max="3" width="12.28125" style="0" customWidth="1"/>
    <col min="6" max="9" width="11.5742187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3"/>
      <c r="J2" s="13"/>
      <c r="K2" s="301"/>
      <c r="L2" s="301"/>
      <c r="M2" s="301"/>
      <c r="N2" s="301"/>
      <c r="O2" s="301"/>
      <c r="P2" s="301"/>
    </row>
    <row r="3" spans="1:16" ht="12.75">
      <c r="A3" s="301"/>
      <c r="B3" s="4"/>
      <c r="C3" s="5"/>
      <c r="D3" s="5"/>
      <c r="E3" s="5"/>
      <c r="F3" s="5"/>
      <c r="G3" s="5"/>
      <c r="H3" s="5"/>
      <c r="I3" s="5"/>
      <c r="J3" s="6"/>
      <c r="K3" s="301"/>
      <c r="L3" s="301"/>
      <c r="M3" s="301"/>
      <c r="N3" s="301"/>
      <c r="O3" s="301"/>
      <c r="P3" s="301"/>
    </row>
    <row r="4" spans="1:16" ht="15.75">
      <c r="A4" s="301"/>
      <c r="B4" s="4"/>
      <c r="C4" s="30" t="s">
        <v>622</v>
      </c>
      <c r="D4" s="5"/>
      <c r="E4" s="5"/>
      <c r="F4" s="5"/>
      <c r="G4" s="5"/>
      <c r="H4" s="5"/>
      <c r="I4" s="5"/>
      <c r="J4" s="6"/>
      <c r="K4" s="301"/>
      <c r="L4" s="301"/>
      <c r="M4" s="301"/>
      <c r="N4" s="301"/>
      <c r="O4" s="301"/>
      <c r="P4" s="301"/>
    </row>
    <row r="5" spans="1:16" ht="12.75">
      <c r="A5" s="301"/>
      <c r="B5" s="4"/>
      <c r="C5" s="5"/>
      <c r="D5" s="5"/>
      <c r="E5" s="5"/>
      <c r="F5" s="5"/>
      <c r="G5" s="5"/>
      <c r="H5" s="5"/>
      <c r="I5" s="5"/>
      <c r="J5" s="6"/>
      <c r="K5" s="301"/>
      <c r="L5" s="301"/>
      <c r="M5" s="301"/>
      <c r="N5" s="301"/>
      <c r="O5" s="301"/>
      <c r="P5" s="301"/>
    </row>
    <row r="6" spans="1:16" ht="38.25">
      <c r="A6" s="301"/>
      <c r="B6" s="4"/>
      <c r="C6" s="15" t="s">
        <v>554</v>
      </c>
      <c r="D6" s="5"/>
      <c r="E6" s="5"/>
      <c r="F6" s="5"/>
      <c r="G6" s="272" t="s">
        <v>534</v>
      </c>
      <c r="H6" s="277" t="s">
        <v>533</v>
      </c>
      <c r="I6" s="278" t="s">
        <v>535</v>
      </c>
      <c r="J6" s="6"/>
      <c r="K6" s="301"/>
      <c r="L6" s="301"/>
      <c r="M6" s="301"/>
      <c r="N6" s="301"/>
      <c r="O6" s="301"/>
      <c r="P6" s="301"/>
    </row>
    <row r="7" spans="1:16" ht="12.75">
      <c r="A7" s="301"/>
      <c r="B7" s="4"/>
      <c r="C7" s="5"/>
      <c r="D7" s="5" t="s">
        <v>165</v>
      </c>
      <c r="E7" s="5"/>
      <c r="F7" s="5"/>
      <c r="G7" s="274">
        <v>2</v>
      </c>
      <c r="H7" s="276">
        <v>1.25</v>
      </c>
      <c r="I7" s="280">
        <v>0.5</v>
      </c>
      <c r="J7" s="6"/>
      <c r="K7" s="301"/>
      <c r="L7" s="301"/>
      <c r="M7" s="301"/>
      <c r="N7" s="301"/>
      <c r="O7" s="301"/>
      <c r="P7" s="301"/>
    </row>
    <row r="8" spans="1:16" ht="12.75">
      <c r="A8" s="301"/>
      <c r="B8" s="4"/>
      <c r="C8" s="5"/>
      <c r="D8" s="5"/>
      <c r="E8" s="5"/>
      <c r="F8" s="5"/>
      <c r="G8" s="5"/>
      <c r="H8" s="5"/>
      <c r="I8" s="5"/>
      <c r="J8" s="6"/>
      <c r="K8" s="301"/>
      <c r="L8" s="301"/>
      <c r="M8" s="301"/>
      <c r="N8" s="301"/>
      <c r="O8" s="301"/>
      <c r="P8" s="301"/>
    </row>
    <row r="9" spans="1:16" ht="12.75">
      <c r="A9" s="301"/>
      <c r="B9" s="4"/>
      <c r="C9" s="15" t="s">
        <v>555</v>
      </c>
      <c r="D9" s="5"/>
      <c r="E9" s="5"/>
      <c r="F9" s="5"/>
      <c r="G9" s="5"/>
      <c r="H9" s="5"/>
      <c r="I9" s="5"/>
      <c r="J9" s="6"/>
      <c r="K9" s="301"/>
      <c r="L9" s="301"/>
      <c r="M9" s="301"/>
      <c r="N9" s="301"/>
      <c r="O9" s="301"/>
      <c r="P9" s="301"/>
    </row>
    <row r="10" spans="1:16" ht="12.75">
      <c r="A10" s="301"/>
      <c r="B10" s="4"/>
      <c r="C10" s="5"/>
      <c r="D10" s="5" t="s">
        <v>128</v>
      </c>
      <c r="E10" s="5"/>
      <c r="F10" s="5"/>
      <c r="G10" s="243">
        <v>0</v>
      </c>
      <c r="H10" s="293"/>
      <c r="I10" s="293"/>
      <c r="J10" s="6"/>
      <c r="K10" s="301"/>
      <c r="L10" s="301"/>
      <c r="M10" s="301"/>
      <c r="N10" s="301"/>
      <c r="O10" s="301"/>
      <c r="P10" s="301"/>
    </row>
    <row r="11" spans="1:16" ht="12.75">
      <c r="A11" s="301"/>
      <c r="B11" s="4"/>
      <c r="C11" s="5"/>
      <c r="D11" s="5"/>
      <c r="E11" s="5"/>
      <c r="F11" s="5"/>
      <c r="G11" s="5"/>
      <c r="H11" s="5"/>
      <c r="I11" s="5"/>
      <c r="J11" s="6"/>
      <c r="K11" s="301"/>
      <c r="L11" s="301"/>
      <c r="M11" s="301"/>
      <c r="N11" s="301"/>
      <c r="O11" s="301"/>
      <c r="P11" s="301"/>
    </row>
    <row r="12" spans="1:16" ht="12.75">
      <c r="A12" s="301"/>
      <c r="B12" s="4"/>
      <c r="C12" s="15" t="s">
        <v>556</v>
      </c>
      <c r="D12" s="5"/>
      <c r="E12" s="5"/>
      <c r="F12" s="5"/>
      <c r="G12" s="5"/>
      <c r="H12" s="5"/>
      <c r="I12" s="5"/>
      <c r="J12" s="6"/>
      <c r="K12" s="301"/>
      <c r="L12" s="301"/>
      <c r="M12" s="301"/>
      <c r="N12" s="301"/>
      <c r="O12" s="301"/>
      <c r="P12" s="301"/>
    </row>
    <row r="13" spans="1:16" ht="12.75">
      <c r="A13" s="301"/>
      <c r="B13" s="4"/>
      <c r="C13" s="5"/>
      <c r="D13" s="5" t="s">
        <v>129</v>
      </c>
      <c r="E13" s="5"/>
      <c r="F13" s="5"/>
      <c r="G13" s="243">
        <v>100</v>
      </c>
      <c r="H13" s="293"/>
      <c r="I13" s="293"/>
      <c r="J13" s="6"/>
      <c r="K13" s="301"/>
      <c r="L13" s="301"/>
      <c r="M13" s="301"/>
      <c r="N13" s="301"/>
      <c r="O13" s="301"/>
      <c r="P13" s="301"/>
    </row>
    <row r="14" spans="1:16" ht="12.75">
      <c r="A14" s="301"/>
      <c r="B14" s="4"/>
      <c r="C14" s="5"/>
      <c r="D14" s="5" t="s">
        <v>130</v>
      </c>
      <c r="E14" s="5"/>
      <c r="F14" s="5"/>
      <c r="G14" s="243">
        <v>600</v>
      </c>
      <c r="H14" s="293"/>
      <c r="I14" s="293"/>
      <c r="J14" s="6"/>
      <c r="K14" s="301"/>
      <c r="L14" s="301"/>
      <c r="M14" s="301"/>
      <c r="N14" s="301"/>
      <c r="O14" s="301"/>
      <c r="P14" s="301"/>
    </row>
    <row r="15" spans="1:16" ht="12.75">
      <c r="A15" s="301"/>
      <c r="B15" s="4"/>
      <c r="C15" s="5"/>
      <c r="D15" s="5" t="s">
        <v>131</v>
      </c>
      <c r="E15" s="5"/>
      <c r="F15" s="5"/>
      <c r="G15" s="243">
        <v>400</v>
      </c>
      <c r="H15" s="293"/>
      <c r="I15" s="293"/>
      <c r="J15" s="6"/>
      <c r="K15" s="301"/>
      <c r="L15" s="301"/>
      <c r="M15" s="301"/>
      <c r="N15" s="301"/>
      <c r="O15" s="301"/>
      <c r="P15" s="301"/>
    </row>
    <row r="16" spans="1:16" ht="13.5" thickBot="1">
      <c r="A16" s="301"/>
      <c r="B16" s="7"/>
      <c r="C16" s="8"/>
      <c r="D16" s="8"/>
      <c r="E16" s="8"/>
      <c r="F16" s="8"/>
      <c r="G16" s="8"/>
      <c r="H16" s="8"/>
      <c r="I16" s="8"/>
      <c r="J16" s="9"/>
      <c r="K16" s="301"/>
      <c r="L16" s="301"/>
      <c r="M16" s="301"/>
      <c r="N16" s="301"/>
      <c r="O16" s="301"/>
      <c r="P16" s="301"/>
    </row>
    <row r="17" spans="1:16" ht="13.5" thickTop="1">
      <c r="A17" s="301"/>
      <c r="B17" s="301"/>
      <c r="C17" s="301"/>
      <c r="D17" s="301"/>
      <c r="E17" s="301"/>
      <c r="F17" s="301"/>
      <c r="G17" s="301"/>
      <c r="H17" s="301"/>
      <c r="I17" s="301"/>
      <c r="J17" s="301"/>
      <c r="K17" s="301"/>
      <c r="L17" s="301"/>
      <c r="M17" s="301"/>
      <c r="N17" s="301"/>
      <c r="O17" s="301"/>
      <c r="P17" s="301"/>
    </row>
    <row r="18" spans="1:16" ht="12.75">
      <c r="A18" s="301"/>
      <c r="B18" s="301"/>
      <c r="C18" s="301"/>
      <c r="D18" s="301"/>
      <c r="E18" s="301"/>
      <c r="F18" s="301"/>
      <c r="G18" s="301"/>
      <c r="H18" s="301"/>
      <c r="I18" s="301"/>
      <c r="J18" s="301"/>
      <c r="K18" s="301"/>
      <c r="L18" s="301"/>
      <c r="M18" s="301"/>
      <c r="N18" s="301"/>
      <c r="O18" s="301"/>
      <c r="P18" s="301"/>
    </row>
    <row r="19" spans="1:16" ht="12.75">
      <c r="A19" s="301"/>
      <c r="B19" s="301"/>
      <c r="C19" s="301"/>
      <c r="D19" s="301"/>
      <c r="E19" s="301"/>
      <c r="F19" s="301"/>
      <c r="G19" s="301"/>
      <c r="H19" s="301"/>
      <c r="I19" s="301"/>
      <c r="J19" s="301"/>
      <c r="K19" s="301"/>
      <c r="L19" s="301"/>
      <c r="M19" s="301"/>
      <c r="N19" s="301"/>
      <c r="O19" s="301"/>
      <c r="P19" s="301"/>
    </row>
    <row r="20" spans="1:16" ht="12.75">
      <c r="A20" s="301"/>
      <c r="B20" s="301"/>
      <c r="C20" s="301"/>
      <c r="D20" s="301"/>
      <c r="E20" s="301"/>
      <c r="F20" s="301"/>
      <c r="G20" s="301"/>
      <c r="H20" s="301"/>
      <c r="I20" s="301"/>
      <c r="J20" s="301"/>
      <c r="K20" s="301"/>
      <c r="L20" s="301"/>
      <c r="M20" s="301"/>
      <c r="N20" s="301"/>
      <c r="O20" s="301"/>
      <c r="P20" s="301"/>
    </row>
    <row r="21" spans="1:16" ht="12.75">
      <c r="A21" s="301"/>
      <c r="B21" s="301"/>
      <c r="C21" s="301"/>
      <c r="D21" s="301"/>
      <c r="E21" s="301"/>
      <c r="F21" s="301"/>
      <c r="G21" s="301"/>
      <c r="H21" s="301"/>
      <c r="I21" s="301"/>
      <c r="J21" s="301"/>
      <c r="K21" s="301"/>
      <c r="L21" s="301"/>
      <c r="M21" s="301"/>
      <c r="N21" s="301"/>
      <c r="O21" s="301"/>
      <c r="P21" s="301"/>
    </row>
    <row r="22" spans="1:16" ht="12.75">
      <c r="A22" s="301"/>
      <c r="B22" s="301"/>
      <c r="C22" s="301"/>
      <c r="D22" s="301"/>
      <c r="E22" s="301"/>
      <c r="F22" s="301"/>
      <c r="G22" s="301"/>
      <c r="H22" s="301"/>
      <c r="I22" s="301"/>
      <c r="J22" s="301"/>
      <c r="K22" s="301"/>
      <c r="L22" s="301"/>
      <c r="M22" s="301"/>
      <c r="N22" s="301"/>
      <c r="O22" s="301"/>
      <c r="P22" s="301"/>
    </row>
    <row r="23" spans="1:16" ht="12.75">
      <c r="A23" s="301"/>
      <c r="B23" s="301"/>
      <c r="C23" s="301"/>
      <c r="D23" s="301"/>
      <c r="E23" s="301"/>
      <c r="F23" s="301"/>
      <c r="G23" s="301"/>
      <c r="H23" s="301"/>
      <c r="I23" s="301"/>
      <c r="J23" s="301"/>
      <c r="K23" s="301"/>
      <c r="L23" s="301"/>
      <c r="M23" s="301"/>
      <c r="N23" s="301"/>
      <c r="O23" s="301"/>
      <c r="P23" s="301"/>
    </row>
    <row r="24" spans="1:16" ht="12.75">
      <c r="A24" s="301"/>
      <c r="B24" s="301"/>
      <c r="C24" s="301"/>
      <c r="D24" s="301"/>
      <c r="E24" s="301"/>
      <c r="F24" s="301"/>
      <c r="G24" s="301"/>
      <c r="H24" s="301"/>
      <c r="I24" s="301"/>
      <c r="J24" s="301"/>
      <c r="K24" s="301"/>
      <c r="L24" s="301"/>
      <c r="M24" s="301"/>
      <c r="N24" s="301"/>
      <c r="O24" s="301"/>
      <c r="P24" s="301"/>
    </row>
    <row r="25" spans="1:16" ht="12.75">
      <c r="A25" s="301"/>
      <c r="B25" s="301"/>
      <c r="C25" s="301"/>
      <c r="D25" s="301"/>
      <c r="E25" s="301"/>
      <c r="F25" s="301"/>
      <c r="G25" s="301"/>
      <c r="H25" s="301"/>
      <c r="I25" s="301"/>
      <c r="J25" s="301"/>
      <c r="K25" s="301"/>
      <c r="L25" s="301"/>
      <c r="M25" s="301"/>
      <c r="N25" s="301"/>
      <c r="O25" s="301"/>
      <c r="P25" s="301"/>
    </row>
    <row r="26" spans="1:16" ht="12.75">
      <c r="A26" s="301"/>
      <c r="B26" s="301"/>
      <c r="C26" s="301"/>
      <c r="D26" s="301"/>
      <c r="E26" s="301"/>
      <c r="F26" s="301"/>
      <c r="G26" s="301"/>
      <c r="H26" s="301"/>
      <c r="I26" s="301"/>
      <c r="J26" s="301"/>
      <c r="K26" s="301"/>
      <c r="L26" s="301"/>
      <c r="M26" s="301"/>
      <c r="N26" s="301"/>
      <c r="O26" s="301"/>
      <c r="P26" s="301"/>
    </row>
    <row r="27" spans="1:16" ht="12.75">
      <c r="A27" s="301"/>
      <c r="B27" s="301"/>
      <c r="C27" s="301"/>
      <c r="D27" s="301"/>
      <c r="E27" s="301"/>
      <c r="F27" s="301"/>
      <c r="G27" s="301"/>
      <c r="H27" s="301"/>
      <c r="I27" s="301"/>
      <c r="J27" s="301"/>
      <c r="K27" s="301"/>
      <c r="L27" s="301"/>
      <c r="M27" s="301"/>
      <c r="N27" s="301"/>
      <c r="O27" s="301"/>
      <c r="P27" s="301"/>
    </row>
    <row r="28" spans="1:16" ht="12.75">
      <c r="A28" s="301"/>
      <c r="B28" s="301"/>
      <c r="C28" s="301"/>
      <c r="D28" s="301"/>
      <c r="E28" s="301"/>
      <c r="F28" s="301"/>
      <c r="G28" s="301"/>
      <c r="H28" s="301"/>
      <c r="I28" s="301"/>
      <c r="J28" s="301"/>
      <c r="K28" s="301"/>
      <c r="L28" s="301"/>
      <c r="M28" s="301"/>
      <c r="N28" s="301"/>
      <c r="O28" s="301"/>
      <c r="P28" s="301"/>
    </row>
    <row r="29" spans="1:16" ht="12.75">
      <c r="A29" s="301"/>
      <c r="B29" s="301"/>
      <c r="C29" s="301"/>
      <c r="D29" s="301"/>
      <c r="E29" s="301"/>
      <c r="F29" s="301"/>
      <c r="G29" s="301"/>
      <c r="H29" s="301"/>
      <c r="I29" s="301"/>
      <c r="J29" s="301"/>
      <c r="K29" s="301"/>
      <c r="L29" s="301"/>
      <c r="M29" s="301"/>
      <c r="N29" s="301"/>
      <c r="O29" s="301"/>
      <c r="P29" s="301"/>
    </row>
    <row r="30" spans="1:16" ht="12.75">
      <c r="A30" s="301"/>
      <c r="B30" s="301"/>
      <c r="C30" s="301"/>
      <c r="D30" s="301"/>
      <c r="E30" s="301"/>
      <c r="F30" s="301"/>
      <c r="G30" s="301"/>
      <c r="H30" s="301"/>
      <c r="I30" s="301"/>
      <c r="J30" s="301"/>
      <c r="K30" s="301"/>
      <c r="L30" s="301"/>
      <c r="M30" s="301"/>
      <c r="N30" s="301"/>
      <c r="O30" s="301"/>
      <c r="P30" s="301"/>
    </row>
    <row r="31" spans="1:16" ht="12.75">
      <c r="A31" s="301"/>
      <c r="B31" s="301"/>
      <c r="C31" s="301"/>
      <c r="D31" s="301"/>
      <c r="E31" s="301"/>
      <c r="F31" s="301"/>
      <c r="G31" s="301"/>
      <c r="H31" s="301"/>
      <c r="I31" s="301"/>
      <c r="J31" s="301"/>
      <c r="K31" s="301"/>
      <c r="L31" s="301"/>
      <c r="M31" s="301"/>
      <c r="N31" s="301"/>
      <c r="O31" s="301"/>
      <c r="P31" s="301"/>
    </row>
    <row r="32" spans="1:16" ht="12.75">
      <c r="A32" s="301"/>
      <c r="B32" s="301"/>
      <c r="C32" s="301"/>
      <c r="D32" s="301"/>
      <c r="E32" s="301"/>
      <c r="F32" s="301"/>
      <c r="G32" s="301"/>
      <c r="H32" s="301"/>
      <c r="I32" s="301"/>
      <c r="J32" s="301"/>
      <c r="K32" s="301"/>
      <c r="L32" s="301"/>
      <c r="M32" s="301"/>
      <c r="N32" s="301"/>
      <c r="O32" s="301"/>
      <c r="P32" s="301"/>
    </row>
    <row r="33" spans="1:16" ht="12.75">
      <c r="A33" s="301"/>
      <c r="B33" s="301"/>
      <c r="C33" s="301"/>
      <c r="D33" s="301"/>
      <c r="E33" s="301"/>
      <c r="F33" s="301"/>
      <c r="G33" s="301"/>
      <c r="H33" s="301"/>
      <c r="I33" s="301"/>
      <c r="J33" s="301"/>
      <c r="K33" s="301"/>
      <c r="L33" s="301"/>
      <c r="M33" s="301"/>
      <c r="N33" s="301"/>
      <c r="O33" s="301"/>
      <c r="P33" s="301"/>
    </row>
    <row r="34" spans="1:16" ht="12.75">
      <c r="A34" s="301"/>
      <c r="B34" s="301"/>
      <c r="C34" s="301"/>
      <c r="D34" s="301"/>
      <c r="E34" s="301"/>
      <c r="F34" s="301"/>
      <c r="G34" s="301"/>
      <c r="H34" s="301"/>
      <c r="I34" s="301"/>
      <c r="J34" s="301"/>
      <c r="K34" s="301"/>
      <c r="L34" s="301"/>
      <c r="M34" s="301"/>
      <c r="N34" s="301"/>
      <c r="O34" s="301"/>
      <c r="P34" s="301"/>
    </row>
  </sheetData>
  <sheetProtection password="D387" sheet="1" objects="1" scenarios="1"/>
  <printOptions/>
  <pageMargins left="0.75" right="0.75" top="1" bottom="1" header="0.5" footer="0.5"/>
  <pageSetup fitToHeight="1" fitToWidth="1" horizontalDpi="600" verticalDpi="600" orientation="portrait" scale="87" r:id="rId1"/>
  <headerFooter alignWithMargins="0">
    <oddHeader>&amp;CTotal Cost of Application Ownership (TCA) Calculator</oddHeader>
    <oddFooter>&amp;LThe Tolly Group TCA Calculator
&amp;P&amp;D&amp;T&amp;R© The Tolly Group, 1999</oddFooter>
  </headerFooter>
</worksheet>
</file>

<file path=xl/worksheets/sheet11.xml><?xml version="1.0" encoding="utf-8"?>
<worksheet xmlns="http://schemas.openxmlformats.org/spreadsheetml/2006/main" xmlns:r="http://schemas.openxmlformats.org/officeDocument/2006/relationships">
  <sheetPr codeName="Sheet102">
    <pageSetUpPr fitToPage="1"/>
  </sheetPr>
  <dimension ref="A1:Q132"/>
  <sheetViews>
    <sheetView showRowColHeaders="0" workbookViewId="0" topLeftCell="A1">
      <selection activeCell="A1" sqref="A1"/>
    </sheetView>
  </sheetViews>
  <sheetFormatPr defaultColWidth="9.140625" defaultRowHeight="12.75"/>
  <cols>
    <col min="3" max="3" width="10.421875" style="0" customWidth="1"/>
    <col min="7" max="7" width="12.7109375" style="0" customWidth="1"/>
    <col min="8" max="10" width="11.5742187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3"/>
      <c r="J2" s="3"/>
      <c r="K2" s="13"/>
      <c r="L2" s="301"/>
      <c r="M2" s="301"/>
      <c r="N2" s="301"/>
      <c r="O2" s="301"/>
      <c r="P2" s="301"/>
    </row>
    <row r="3" spans="1:16" ht="12.75">
      <c r="A3" s="301"/>
      <c r="B3" s="4"/>
      <c r="C3" s="5"/>
      <c r="D3" s="5"/>
      <c r="E3" s="5"/>
      <c r="F3" s="5"/>
      <c r="G3" s="5"/>
      <c r="H3" s="5"/>
      <c r="I3" s="5"/>
      <c r="J3" s="5"/>
      <c r="K3" s="6"/>
      <c r="L3" s="301"/>
      <c r="M3" s="301"/>
      <c r="N3" s="301"/>
      <c r="O3" s="301"/>
      <c r="P3" s="301"/>
    </row>
    <row r="4" spans="1:16" ht="15.75">
      <c r="A4" s="301"/>
      <c r="B4" s="14"/>
      <c r="C4" s="30" t="s">
        <v>623</v>
      </c>
      <c r="D4" s="5"/>
      <c r="E4" s="5"/>
      <c r="F4" s="5"/>
      <c r="G4" s="5"/>
      <c r="H4" s="5"/>
      <c r="I4" s="5"/>
      <c r="J4" s="5"/>
      <c r="K4" s="6"/>
      <c r="L4" s="301"/>
      <c r="M4" s="301"/>
      <c r="N4" s="301"/>
      <c r="O4" s="301"/>
      <c r="P4" s="301"/>
    </row>
    <row r="5" spans="1:16" ht="12.75">
      <c r="A5" s="301"/>
      <c r="B5" s="4"/>
      <c r="C5" s="5"/>
      <c r="D5" s="5"/>
      <c r="E5" s="5"/>
      <c r="F5" s="5"/>
      <c r="G5" s="5"/>
      <c r="H5" s="360" t="s">
        <v>101</v>
      </c>
      <c r="I5" s="360"/>
      <c r="J5" s="360"/>
      <c r="K5" s="6"/>
      <c r="L5" s="301"/>
      <c r="M5" s="301"/>
      <c r="N5" s="301"/>
      <c r="O5" s="301"/>
      <c r="P5" s="301"/>
    </row>
    <row r="6" spans="1:16" ht="38.25" customHeight="1">
      <c r="A6" s="301"/>
      <c r="B6" s="58"/>
      <c r="C6" s="30" t="s">
        <v>550</v>
      </c>
      <c r="D6" s="5"/>
      <c r="E6" s="5"/>
      <c r="F6" s="5"/>
      <c r="G6" s="5" t="s">
        <v>265</v>
      </c>
      <c r="H6" s="272" t="s">
        <v>534</v>
      </c>
      <c r="I6" s="277" t="s">
        <v>533</v>
      </c>
      <c r="J6" s="278" t="s">
        <v>535</v>
      </c>
      <c r="K6" s="6"/>
      <c r="L6" s="301"/>
      <c r="M6" s="301"/>
      <c r="N6" s="301"/>
      <c r="O6" s="301"/>
      <c r="P6" s="301"/>
    </row>
    <row r="7" spans="1:16" ht="12.75" customHeight="1">
      <c r="A7" s="301"/>
      <c r="B7" s="4"/>
      <c r="C7" s="59"/>
      <c r="D7" s="5" t="s">
        <v>12</v>
      </c>
      <c r="E7" s="5"/>
      <c r="F7" s="5"/>
      <c r="G7" s="286">
        <v>4000</v>
      </c>
      <c r="H7" s="274">
        <f>'Calculation Sheet'!B4/2</f>
        <v>2</v>
      </c>
      <c r="I7" s="275">
        <f>'Calculation Sheet'!B4</f>
        <v>4</v>
      </c>
      <c r="J7" s="279">
        <f>'Calculation Sheet'!F3</f>
        <v>38.46153846153846</v>
      </c>
      <c r="K7" s="6"/>
      <c r="L7" s="301"/>
      <c r="M7" s="301"/>
      <c r="N7" s="301"/>
      <c r="O7" s="301"/>
      <c r="P7" s="301"/>
    </row>
    <row r="8" spans="1:16" ht="12.75">
      <c r="A8" s="301"/>
      <c r="B8" s="4"/>
      <c r="C8" s="5"/>
      <c r="D8" s="5" t="s">
        <v>102</v>
      </c>
      <c r="E8" s="5"/>
      <c r="F8" s="5"/>
      <c r="G8" s="243">
        <v>1100</v>
      </c>
      <c r="H8" s="274">
        <f>SUM('Calculation Sheet'!B4)*6/2</f>
        <v>12</v>
      </c>
      <c r="I8" s="276">
        <f>SUM('Calculation Sheet'!B4)*6</f>
        <v>24</v>
      </c>
      <c r="J8" s="287">
        <f>SUM('Calculation Sheet'!F3)*6</f>
        <v>230.76923076923077</v>
      </c>
      <c r="K8" s="6"/>
      <c r="L8" s="301"/>
      <c r="M8" s="301"/>
      <c r="N8" s="301"/>
      <c r="O8" s="301"/>
      <c r="P8" s="301"/>
    </row>
    <row r="9" spans="1:16" ht="12.75">
      <c r="A9" s="301"/>
      <c r="B9" s="4"/>
      <c r="C9" s="5"/>
      <c r="D9" s="5" t="s">
        <v>103</v>
      </c>
      <c r="E9" s="5"/>
      <c r="F9" s="5"/>
      <c r="G9" s="243">
        <v>260</v>
      </c>
      <c r="H9" s="274">
        <f>'Calculation Sheet'!B4/2</f>
        <v>2</v>
      </c>
      <c r="I9" s="345">
        <f>'Calculation Sheet'!B4</f>
        <v>4</v>
      </c>
      <c r="J9" s="279">
        <f>'Calculation Sheet'!F3</f>
        <v>38.46153846153846</v>
      </c>
      <c r="K9" s="6"/>
      <c r="L9" s="301"/>
      <c r="M9" s="301"/>
      <c r="N9" s="301"/>
      <c r="O9" s="301"/>
      <c r="P9" s="301"/>
    </row>
    <row r="10" spans="1:16" ht="12.75">
      <c r="A10" s="301"/>
      <c r="B10" s="4"/>
      <c r="C10" s="5"/>
      <c r="D10" s="5" t="s">
        <v>104</v>
      </c>
      <c r="E10" s="5"/>
      <c r="F10" s="5"/>
      <c r="G10" s="243">
        <v>800</v>
      </c>
      <c r="H10" s="274">
        <f>'Calculation Sheet'!B4/2</f>
        <v>2</v>
      </c>
      <c r="I10" s="275">
        <f>'Calculation Sheet'!B4</f>
        <v>4</v>
      </c>
      <c r="J10" s="279">
        <f>'Calculation Sheet'!F3</f>
        <v>38.46153846153846</v>
      </c>
      <c r="K10" s="6"/>
      <c r="L10" s="301"/>
      <c r="M10" s="301"/>
      <c r="N10" s="301"/>
      <c r="O10" s="301"/>
      <c r="P10" s="301"/>
    </row>
    <row r="11" spans="1:16" ht="12.75">
      <c r="A11" s="301"/>
      <c r="B11" s="4"/>
      <c r="C11" s="5"/>
      <c r="D11" s="5" t="s">
        <v>250</v>
      </c>
      <c r="E11" s="5"/>
      <c r="F11" s="5"/>
      <c r="G11" s="243">
        <v>150</v>
      </c>
      <c r="H11" s="274">
        <f>'Calculation Sheet'!B4/2</f>
        <v>2</v>
      </c>
      <c r="I11" s="275">
        <f>'Calculation Sheet'!B4</f>
        <v>4</v>
      </c>
      <c r="J11" s="279">
        <f>'Calculation Sheet'!F3</f>
        <v>38.46153846153846</v>
      </c>
      <c r="K11" s="6"/>
      <c r="L11" s="301"/>
      <c r="M11" s="301"/>
      <c r="N11" s="301"/>
      <c r="O11" s="301"/>
      <c r="P11" s="301"/>
    </row>
    <row r="12" spans="1:16" ht="12.75">
      <c r="A12" s="301"/>
      <c r="B12" s="4"/>
      <c r="C12" s="5"/>
      <c r="D12" s="5" t="s">
        <v>588</v>
      </c>
      <c r="E12" s="5"/>
      <c r="F12" s="5"/>
      <c r="G12" s="243">
        <v>1200</v>
      </c>
      <c r="H12" s="274">
        <f>'Calculation Sheet'!B4/2</f>
        <v>2</v>
      </c>
      <c r="I12" s="275">
        <f>'Calculation Sheet'!B4</f>
        <v>4</v>
      </c>
      <c r="J12" s="279">
        <f>'Calculation Sheet'!F3</f>
        <v>38.46153846153846</v>
      </c>
      <c r="K12" s="6"/>
      <c r="L12" s="301"/>
      <c r="M12" s="301"/>
      <c r="N12" s="301"/>
      <c r="O12" s="301"/>
      <c r="P12" s="301"/>
    </row>
    <row r="13" spans="1:16" ht="12.75">
      <c r="A13" s="301"/>
      <c r="B13" s="4"/>
      <c r="C13" s="5"/>
      <c r="D13" s="5" t="s">
        <v>251</v>
      </c>
      <c r="E13" s="5"/>
      <c r="F13" s="5"/>
      <c r="G13" s="243">
        <v>5000</v>
      </c>
      <c r="H13" s="274">
        <f>'Calculation Sheet'!B4/2</f>
        <v>2</v>
      </c>
      <c r="I13" s="275">
        <f>'Calculation Sheet'!B4</f>
        <v>4</v>
      </c>
      <c r="J13" s="279">
        <f>'Calculation Sheet'!F3</f>
        <v>38.46153846153846</v>
      </c>
      <c r="K13" s="6"/>
      <c r="L13" s="301"/>
      <c r="M13" s="301"/>
      <c r="N13" s="301"/>
      <c r="O13" s="301"/>
      <c r="P13" s="301"/>
    </row>
    <row r="14" spans="1:16" ht="12.75">
      <c r="A14" s="301"/>
      <c r="B14" s="4"/>
      <c r="C14" s="5"/>
      <c r="D14" s="5" t="s">
        <v>252</v>
      </c>
      <c r="E14" s="5"/>
      <c r="F14" s="5"/>
      <c r="G14" s="243">
        <v>900</v>
      </c>
      <c r="H14" s="274">
        <f>'Calculation Sheet'!B4/2</f>
        <v>2</v>
      </c>
      <c r="I14" s="275">
        <f>'Calculation Sheet'!B4</f>
        <v>4</v>
      </c>
      <c r="J14" s="279">
        <f>'Calculation Sheet'!F3</f>
        <v>38.46153846153846</v>
      </c>
      <c r="K14" s="6"/>
      <c r="L14" s="301"/>
      <c r="M14" s="301"/>
      <c r="N14" s="301"/>
      <c r="O14" s="301"/>
      <c r="P14" s="301"/>
    </row>
    <row r="15" spans="1:16" ht="12.75">
      <c r="A15" s="301"/>
      <c r="B15" s="4"/>
      <c r="C15" s="5"/>
      <c r="D15" s="5" t="s">
        <v>253</v>
      </c>
      <c r="E15" s="5"/>
      <c r="F15" s="5"/>
      <c r="G15" s="243">
        <v>550</v>
      </c>
      <c r="H15" s="274">
        <f>'Calculation Sheet'!B4/2</f>
        <v>2</v>
      </c>
      <c r="I15" s="275">
        <f>'Calculation Sheet'!B4</f>
        <v>4</v>
      </c>
      <c r="J15" s="279">
        <f>'Calculation Sheet'!F3</f>
        <v>38.46153846153846</v>
      </c>
      <c r="K15" s="6"/>
      <c r="L15" s="301"/>
      <c r="M15" s="301"/>
      <c r="N15" s="301"/>
      <c r="O15" s="301"/>
      <c r="P15" s="301"/>
    </row>
    <row r="16" spans="1:16" ht="12.75">
      <c r="A16" s="301"/>
      <c r="B16" s="4"/>
      <c r="C16" s="5"/>
      <c r="D16" s="5" t="s">
        <v>25</v>
      </c>
      <c r="E16" s="5"/>
      <c r="F16" s="17"/>
      <c r="G16" s="243">
        <v>0</v>
      </c>
      <c r="H16" s="274">
        <f>'Calculation Sheet'!B4/2</f>
        <v>2</v>
      </c>
      <c r="I16" s="275">
        <f>'Calculation Sheet'!B4</f>
        <v>4</v>
      </c>
      <c r="J16" s="279">
        <f>'Calculation Sheet'!F3</f>
        <v>38.46153846153846</v>
      </c>
      <c r="K16" s="6"/>
      <c r="L16" s="301"/>
      <c r="M16" s="301"/>
      <c r="N16" s="301"/>
      <c r="O16" s="301"/>
      <c r="P16" s="301"/>
    </row>
    <row r="17" spans="1:16" ht="12.75" customHeight="1">
      <c r="A17" s="301"/>
      <c r="B17" s="4"/>
      <c r="C17" s="5"/>
      <c r="D17" s="5"/>
      <c r="E17" s="5"/>
      <c r="F17" s="5"/>
      <c r="G17" s="283"/>
      <c r="H17" s="5"/>
      <c r="I17" s="5"/>
      <c r="J17" s="5"/>
      <c r="K17" s="6"/>
      <c r="L17" s="301"/>
      <c r="M17" s="301"/>
      <c r="N17" s="301"/>
      <c r="O17" s="301"/>
      <c r="P17" s="301"/>
    </row>
    <row r="18" spans="1:16" ht="15" customHeight="1">
      <c r="A18" s="301"/>
      <c r="B18" s="14"/>
      <c r="C18" s="30" t="s">
        <v>551</v>
      </c>
      <c r="D18" s="5"/>
      <c r="E18" s="5"/>
      <c r="F18" s="5"/>
      <c r="G18" s="283"/>
      <c r="H18" s="5"/>
      <c r="I18" s="5"/>
      <c r="J18" s="5"/>
      <c r="K18" s="6"/>
      <c r="L18" s="301"/>
      <c r="M18" s="301"/>
      <c r="N18" s="301"/>
      <c r="O18" s="301"/>
      <c r="P18" s="301"/>
    </row>
    <row r="19" spans="1:16" ht="12.75" customHeight="1">
      <c r="A19" s="301"/>
      <c r="B19" s="14"/>
      <c r="C19" s="59"/>
      <c r="D19" s="5" t="s">
        <v>12</v>
      </c>
      <c r="E19" s="5"/>
      <c r="F19" s="5"/>
      <c r="G19" s="286">
        <v>4000</v>
      </c>
      <c r="H19" s="274">
        <v>1</v>
      </c>
      <c r="I19" s="276">
        <v>1</v>
      </c>
      <c r="J19" s="280">
        <v>1</v>
      </c>
      <c r="K19" s="6"/>
      <c r="L19" s="301"/>
      <c r="M19" s="301"/>
      <c r="N19" s="301"/>
      <c r="O19" s="301"/>
      <c r="P19" s="301"/>
    </row>
    <row r="20" spans="1:16" ht="12.75" customHeight="1">
      <c r="A20" s="301"/>
      <c r="B20" s="14"/>
      <c r="C20" s="59"/>
      <c r="D20" s="5" t="s">
        <v>102</v>
      </c>
      <c r="E20" s="5"/>
      <c r="F20" s="5"/>
      <c r="G20" s="243">
        <v>1100</v>
      </c>
      <c r="H20" s="274">
        <v>6</v>
      </c>
      <c r="I20" s="276">
        <v>6</v>
      </c>
      <c r="J20" s="280">
        <v>6</v>
      </c>
      <c r="K20" s="6"/>
      <c r="L20" s="301"/>
      <c r="M20" s="301"/>
      <c r="N20" s="301"/>
      <c r="O20" s="301"/>
      <c r="P20" s="301"/>
    </row>
    <row r="21" spans="1:16" ht="12.75" customHeight="1">
      <c r="A21" s="301"/>
      <c r="B21" s="14"/>
      <c r="C21" s="59"/>
      <c r="D21" s="5" t="s">
        <v>103</v>
      </c>
      <c r="E21" s="5"/>
      <c r="F21" s="5"/>
      <c r="G21" s="243">
        <v>260</v>
      </c>
      <c r="H21" s="274">
        <v>1</v>
      </c>
      <c r="I21" s="276">
        <v>1</v>
      </c>
      <c r="J21" s="280">
        <v>1</v>
      </c>
      <c r="K21" s="6"/>
      <c r="L21" s="301"/>
      <c r="M21" s="301"/>
      <c r="N21" s="301"/>
      <c r="O21" s="301"/>
      <c r="P21" s="301"/>
    </row>
    <row r="22" spans="1:16" ht="12.75" customHeight="1">
      <c r="A22" s="301"/>
      <c r="B22" s="14"/>
      <c r="C22" s="59"/>
      <c r="D22" s="5" t="s">
        <v>104</v>
      </c>
      <c r="E22" s="5"/>
      <c r="F22" s="5"/>
      <c r="G22" s="243">
        <v>800</v>
      </c>
      <c r="H22" s="274">
        <v>1</v>
      </c>
      <c r="I22" s="276">
        <v>1</v>
      </c>
      <c r="J22" s="280">
        <v>1</v>
      </c>
      <c r="K22" s="6"/>
      <c r="L22" s="301"/>
      <c r="M22" s="301"/>
      <c r="N22" s="301"/>
      <c r="O22" s="301"/>
      <c r="P22" s="301"/>
    </row>
    <row r="23" spans="1:16" ht="12.75" customHeight="1">
      <c r="A23" s="301"/>
      <c r="B23" s="14"/>
      <c r="C23" s="59"/>
      <c r="D23" s="5" t="s">
        <v>250</v>
      </c>
      <c r="E23" s="5"/>
      <c r="F23" s="5"/>
      <c r="G23" s="243">
        <v>150</v>
      </c>
      <c r="H23" s="274">
        <v>1</v>
      </c>
      <c r="I23" s="276">
        <v>1</v>
      </c>
      <c r="J23" s="280">
        <v>1</v>
      </c>
      <c r="K23" s="6"/>
      <c r="L23" s="301"/>
      <c r="M23" s="301"/>
      <c r="N23" s="301"/>
      <c r="O23" s="301"/>
      <c r="P23" s="301"/>
    </row>
    <row r="24" spans="1:16" ht="12.75" customHeight="1">
      <c r="A24" s="301"/>
      <c r="B24" s="14"/>
      <c r="C24" s="59"/>
      <c r="D24" s="5" t="s">
        <v>588</v>
      </c>
      <c r="E24" s="5"/>
      <c r="F24" s="5"/>
      <c r="G24" s="243">
        <v>1200</v>
      </c>
      <c r="H24" s="274">
        <v>1</v>
      </c>
      <c r="I24" s="276">
        <v>1</v>
      </c>
      <c r="J24" s="280">
        <v>1</v>
      </c>
      <c r="K24" s="6"/>
      <c r="L24" s="301"/>
      <c r="M24" s="301"/>
      <c r="N24" s="301"/>
      <c r="O24" s="301"/>
      <c r="P24" s="301"/>
    </row>
    <row r="25" spans="1:16" ht="12.75" customHeight="1">
      <c r="A25" s="301"/>
      <c r="B25" s="14"/>
      <c r="C25" s="59"/>
      <c r="D25" s="5" t="s">
        <v>251</v>
      </c>
      <c r="E25" s="5"/>
      <c r="F25" s="5"/>
      <c r="G25" s="243">
        <v>5000</v>
      </c>
      <c r="H25" s="274">
        <v>0</v>
      </c>
      <c r="I25" s="276">
        <v>0</v>
      </c>
      <c r="J25" s="280">
        <v>0</v>
      </c>
      <c r="K25" s="6"/>
      <c r="L25" s="301"/>
      <c r="M25" s="301"/>
      <c r="N25" s="301"/>
      <c r="O25" s="301"/>
      <c r="P25" s="301"/>
    </row>
    <row r="26" spans="1:16" ht="12.75" customHeight="1">
      <c r="A26" s="301"/>
      <c r="B26" s="14"/>
      <c r="C26" s="59"/>
      <c r="D26" s="5" t="s">
        <v>252</v>
      </c>
      <c r="E26" s="5"/>
      <c r="F26" s="5"/>
      <c r="G26" s="243">
        <v>900</v>
      </c>
      <c r="H26" s="274">
        <v>1</v>
      </c>
      <c r="I26" s="276">
        <v>1</v>
      </c>
      <c r="J26" s="280">
        <v>1</v>
      </c>
      <c r="K26" s="6"/>
      <c r="L26" s="301"/>
      <c r="M26" s="301"/>
      <c r="N26" s="301"/>
      <c r="O26" s="301"/>
      <c r="P26" s="301"/>
    </row>
    <row r="27" spans="1:16" ht="12.75">
      <c r="A27" s="301"/>
      <c r="B27" s="4"/>
      <c r="C27" s="59"/>
      <c r="D27" s="5" t="s">
        <v>253</v>
      </c>
      <c r="E27" s="5"/>
      <c r="F27" s="5"/>
      <c r="G27" s="243">
        <v>550</v>
      </c>
      <c r="H27" s="274">
        <v>1</v>
      </c>
      <c r="I27" s="276">
        <v>1</v>
      </c>
      <c r="J27" s="280">
        <v>1</v>
      </c>
      <c r="K27" s="6"/>
      <c r="L27" s="301"/>
      <c r="M27" s="301"/>
      <c r="N27" s="301"/>
      <c r="O27" s="301"/>
      <c r="P27" s="301"/>
    </row>
    <row r="28" spans="1:16" ht="12.75">
      <c r="A28" s="301"/>
      <c r="B28" s="4"/>
      <c r="C28" s="59"/>
      <c r="D28" s="5" t="s">
        <v>25</v>
      </c>
      <c r="E28" s="5"/>
      <c r="F28" s="17"/>
      <c r="G28" s="243">
        <v>0</v>
      </c>
      <c r="H28" s="274">
        <v>0</v>
      </c>
      <c r="I28" s="276">
        <v>0</v>
      </c>
      <c r="J28" s="280">
        <v>0</v>
      </c>
      <c r="K28" s="6"/>
      <c r="L28" s="301"/>
      <c r="M28" s="301"/>
      <c r="N28" s="301"/>
      <c r="O28" s="301"/>
      <c r="P28" s="301"/>
    </row>
    <row r="29" spans="1:16" ht="12.75" customHeight="1">
      <c r="A29" s="301"/>
      <c r="B29" s="4"/>
      <c r="C29" s="5"/>
      <c r="D29" s="5"/>
      <c r="E29" s="5"/>
      <c r="F29" s="5"/>
      <c r="G29" s="283"/>
      <c r="H29" s="5"/>
      <c r="I29" s="5"/>
      <c r="J29" s="5"/>
      <c r="K29" s="6"/>
      <c r="L29" s="301"/>
      <c r="M29" s="301"/>
      <c r="N29" s="301"/>
      <c r="O29" s="301"/>
      <c r="P29" s="301"/>
    </row>
    <row r="30" spans="1:16" ht="15.75">
      <c r="A30" s="301"/>
      <c r="B30" s="14"/>
      <c r="C30" s="30" t="s">
        <v>552</v>
      </c>
      <c r="D30" s="5"/>
      <c r="E30" s="5"/>
      <c r="F30" s="5"/>
      <c r="G30" s="283"/>
      <c r="H30" s="5"/>
      <c r="I30" s="5"/>
      <c r="J30" s="5"/>
      <c r="K30" s="6"/>
      <c r="L30" s="301"/>
      <c r="M30" s="301"/>
      <c r="N30" s="301"/>
      <c r="O30" s="301"/>
      <c r="P30" s="301"/>
    </row>
    <row r="31" spans="1:16" ht="12.75">
      <c r="A31" s="301"/>
      <c r="B31" s="4"/>
      <c r="C31" s="5"/>
      <c r="D31" s="5" t="s">
        <v>107</v>
      </c>
      <c r="E31" s="5"/>
      <c r="F31" s="5"/>
      <c r="G31" s="243">
        <v>2000</v>
      </c>
      <c r="H31" s="274">
        <f>'Detailed Data 2'!H4</f>
        <v>500</v>
      </c>
      <c r="I31" s="276">
        <f>'Detailed Data 2'!H4</f>
        <v>500</v>
      </c>
      <c r="J31" s="280">
        <f>'Detailed Data 2'!H4</f>
        <v>500</v>
      </c>
      <c r="K31" s="6"/>
      <c r="L31" s="301"/>
      <c r="M31" s="301"/>
      <c r="N31" s="301"/>
      <c r="O31" s="301"/>
      <c r="P31" s="301"/>
    </row>
    <row r="32" spans="1:16" ht="12.75">
      <c r="A32" s="301"/>
      <c r="B32" s="4"/>
      <c r="C32" s="5"/>
      <c r="D32" s="5" t="s">
        <v>589</v>
      </c>
      <c r="E32" s="5"/>
      <c r="F32" s="5"/>
      <c r="G32" s="243">
        <v>1500</v>
      </c>
      <c r="H32" s="274">
        <v>0</v>
      </c>
      <c r="I32" s="276">
        <v>0</v>
      </c>
      <c r="J32" s="280">
        <v>0</v>
      </c>
      <c r="K32" s="6"/>
      <c r="L32" s="301"/>
      <c r="M32" s="301"/>
      <c r="N32" s="301"/>
      <c r="O32" s="301"/>
      <c r="P32" s="301"/>
    </row>
    <row r="33" spans="1:16" ht="12.75">
      <c r="A33" s="301"/>
      <c r="B33" s="4"/>
      <c r="C33" s="5"/>
      <c r="D33" s="5" t="s">
        <v>109</v>
      </c>
      <c r="E33" s="5"/>
      <c r="F33" s="5"/>
      <c r="G33" s="243">
        <v>1200</v>
      </c>
      <c r="H33" s="274">
        <v>0</v>
      </c>
      <c r="I33" s="276">
        <v>0</v>
      </c>
      <c r="J33" s="280">
        <v>0</v>
      </c>
      <c r="K33" s="6"/>
      <c r="L33" s="301"/>
      <c r="M33" s="301"/>
      <c r="N33" s="301"/>
      <c r="O33" s="301"/>
      <c r="P33" s="301"/>
    </row>
    <row r="34" spans="1:16" ht="12.75">
      <c r="A34" s="301"/>
      <c r="B34" s="4"/>
      <c r="C34" s="5"/>
      <c r="D34" s="5" t="s">
        <v>110</v>
      </c>
      <c r="E34" s="5"/>
      <c r="F34" s="5"/>
      <c r="G34" s="243">
        <v>2000</v>
      </c>
      <c r="H34" s="274">
        <v>0</v>
      </c>
      <c r="I34" s="276">
        <v>0</v>
      </c>
      <c r="J34" s="280">
        <v>0</v>
      </c>
      <c r="K34" s="6"/>
      <c r="L34" s="301"/>
      <c r="M34" s="301"/>
      <c r="N34" s="301"/>
      <c r="O34" s="301"/>
      <c r="P34" s="301"/>
    </row>
    <row r="35" spans="1:16" ht="12.75">
      <c r="A35" s="301"/>
      <c r="B35" s="4"/>
      <c r="C35" s="5"/>
      <c r="D35" s="5"/>
      <c r="E35" s="5" t="s">
        <v>111</v>
      </c>
      <c r="F35" s="5"/>
      <c r="G35" s="243">
        <v>600</v>
      </c>
      <c r="H35" s="274">
        <v>0</v>
      </c>
      <c r="I35" s="276">
        <v>0</v>
      </c>
      <c r="J35" s="280">
        <v>0</v>
      </c>
      <c r="K35" s="6"/>
      <c r="L35" s="301"/>
      <c r="M35" s="301"/>
      <c r="N35" s="301"/>
      <c r="O35" s="301"/>
      <c r="P35" s="301"/>
    </row>
    <row r="36" spans="1:16" ht="12.75">
      <c r="A36" s="301"/>
      <c r="B36" s="4"/>
      <c r="C36" s="5"/>
      <c r="D36" s="5" t="s">
        <v>112</v>
      </c>
      <c r="E36" s="5"/>
      <c r="F36" s="5"/>
      <c r="G36" s="243">
        <v>3900</v>
      </c>
      <c r="H36" s="274">
        <f>'Detailed Data 2'!H6</f>
        <v>50</v>
      </c>
      <c r="I36" s="276">
        <f>'Detailed Data 2'!H6</f>
        <v>50</v>
      </c>
      <c r="J36" s="280">
        <f>'Detailed Data 2'!H6</f>
        <v>50</v>
      </c>
      <c r="K36" s="6"/>
      <c r="L36" s="301"/>
      <c r="M36" s="301"/>
      <c r="N36" s="301"/>
      <c r="O36" s="301"/>
      <c r="P36" s="301"/>
    </row>
    <row r="37" spans="1:16" ht="12.75">
      <c r="A37" s="301"/>
      <c r="B37" s="4"/>
      <c r="C37" s="5"/>
      <c r="D37" s="5"/>
      <c r="E37" s="5" t="s">
        <v>111</v>
      </c>
      <c r="F37" s="5"/>
      <c r="G37" s="243">
        <v>750</v>
      </c>
      <c r="H37" s="274">
        <f>'Detailed Data 2'!H6</f>
        <v>50</v>
      </c>
      <c r="I37" s="276">
        <f>'Detailed Data 2'!H6</f>
        <v>50</v>
      </c>
      <c r="J37" s="280">
        <f>'Detailed Data 2'!H6</f>
        <v>50</v>
      </c>
      <c r="K37" s="6"/>
      <c r="L37" s="301"/>
      <c r="M37" s="301"/>
      <c r="N37" s="301"/>
      <c r="O37" s="301"/>
      <c r="P37" s="301"/>
    </row>
    <row r="38" spans="1:16" ht="12.75">
      <c r="A38" s="301"/>
      <c r="B38" s="4"/>
      <c r="C38" s="5"/>
      <c r="D38" s="5" t="s">
        <v>25</v>
      </c>
      <c r="E38" s="5"/>
      <c r="F38" s="17"/>
      <c r="G38" s="243">
        <v>0</v>
      </c>
      <c r="H38" s="274">
        <v>0</v>
      </c>
      <c r="I38" s="276">
        <v>0</v>
      </c>
      <c r="J38" s="280">
        <v>0</v>
      </c>
      <c r="K38" s="6"/>
      <c r="L38" s="301"/>
      <c r="M38" s="301"/>
      <c r="N38" s="301"/>
      <c r="O38" s="301"/>
      <c r="P38" s="301"/>
    </row>
    <row r="39" spans="1:16" ht="12.75">
      <c r="A39" s="301"/>
      <c r="B39" s="4"/>
      <c r="C39" s="5"/>
      <c r="D39" s="5"/>
      <c r="E39" s="5"/>
      <c r="F39" s="5"/>
      <c r="G39" s="283"/>
      <c r="H39" s="5"/>
      <c r="I39" s="5"/>
      <c r="J39" s="5"/>
      <c r="K39" s="6"/>
      <c r="L39" s="301"/>
      <c r="M39" s="301"/>
      <c r="N39" s="301"/>
      <c r="O39" s="301"/>
      <c r="P39" s="301"/>
    </row>
    <row r="40" spans="1:16" ht="15.75">
      <c r="A40" s="301"/>
      <c r="B40" s="14"/>
      <c r="C40" s="30" t="s">
        <v>553</v>
      </c>
      <c r="D40" s="5"/>
      <c r="E40" s="5"/>
      <c r="F40" s="5"/>
      <c r="G40" s="283"/>
      <c r="H40" s="5"/>
      <c r="I40" s="5"/>
      <c r="J40" s="5"/>
      <c r="K40" s="6"/>
      <c r="L40" s="301"/>
      <c r="M40" s="301"/>
      <c r="N40" s="301"/>
      <c r="O40" s="301"/>
      <c r="P40" s="301"/>
    </row>
    <row r="41" spans="1:16" ht="12.75">
      <c r="A41" s="301"/>
      <c r="B41" s="4"/>
      <c r="C41" s="5"/>
      <c r="D41" s="5" t="s">
        <v>113</v>
      </c>
      <c r="E41" s="5"/>
      <c r="F41" s="5"/>
      <c r="G41" s="243">
        <v>3000</v>
      </c>
      <c r="H41" s="274">
        <v>0</v>
      </c>
      <c r="I41" s="276">
        <v>0</v>
      </c>
      <c r="J41" s="280">
        <v>0</v>
      </c>
      <c r="K41" s="6"/>
      <c r="L41" s="301"/>
      <c r="M41" s="301"/>
      <c r="N41" s="301"/>
      <c r="O41" s="301"/>
      <c r="P41" s="301"/>
    </row>
    <row r="42" spans="1:16" ht="12.75">
      <c r="A42" s="301"/>
      <c r="B42" s="4"/>
      <c r="C42" s="5"/>
      <c r="D42" s="5" t="s">
        <v>590</v>
      </c>
      <c r="E42" s="5"/>
      <c r="F42" s="5"/>
      <c r="G42" s="243">
        <v>1500</v>
      </c>
      <c r="H42" s="273">
        <f>'Front End'!G3/10</f>
        <v>250</v>
      </c>
      <c r="I42" s="275">
        <f>'Front End'!G3/10</f>
        <v>250</v>
      </c>
      <c r="J42" s="279">
        <f>'Front End'!G3/10</f>
        <v>250</v>
      </c>
      <c r="K42" s="6"/>
      <c r="L42" s="301"/>
      <c r="M42" s="301"/>
      <c r="N42" s="301"/>
      <c r="O42" s="301"/>
      <c r="P42" s="301"/>
    </row>
    <row r="43" spans="1:16" ht="12.75">
      <c r="A43" s="301"/>
      <c r="B43" s="4"/>
      <c r="C43" s="5"/>
      <c r="D43" s="5" t="s">
        <v>115</v>
      </c>
      <c r="E43" s="5"/>
      <c r="F43" s="5"/>
      <c r="G43" s="243">
        <v>5000</v>
      </c>
      <c r="H43" s="274">
        <v>0</v>
      </c>
      <c r="I43" s="276">
        <v>0</v>
      </c>
      <c r="J43" s="280">
        <v>0</v>
      </c>
      <c r="K43" s="6"/>
      <c r="L43" s="301"/>
      <c r="M43" s="301"/>
      <c r="N43" s="301"/>
      <c r="O43" s="301"/>
      <c r="P43" s="301"/>
    </row>
    <row r="44" spans="1:16" ht="12.75">
      <c r="A44" s="301"/>
      <c r="B44" s="4"/>
      <c r="C44" s="5"/>
      <c r="D44" s="5" t="s">
        <v>116</v>
      </c>
      <c r="E44" s="5"/>
      <c r="F44" s="5"/>
      <c r="G44" s="243">
        <v>1500</v>
      </c>
      <c r="H44" s="274">
        <v>0</v>
      </c>
      <c r="I44" s="276">
        <v>0</v>
      </c>
      <c r="J44" s="280">
        <v>0</v>
      </c>
      <c r="K44" s="6"/>
      <c r="L44" s="301"/>
      <c r="M44" s="301"/>
      <c r="N44" s="301"/>
      <c r="O44" s="301"/>
      <c r="P44" s="301"/>
    </row>
    <row r="45" spans="1:16" ht="12.75">
      <c r="A45" s="301"/>
      <c r="B45" s="4"/>
      <c r="C45" s="5"/>
      <c r="D45" s="5" t="s">
        <v>591</v>
      </c>
      <c r="E45" s="5"/>
      <c r="F45" s="5"/>
      <c r="G45" s="243">
        <v>1000</v>
      </c>
      <c r="H45" s="274">
        <v>0</v>
      </c>
      <c r="I45" s="276">
        <v>0</v>
      </c>
      <c r="J45" s="280">
        <v>0</v>
      </c>
      <c r="K45" s="6"/>
      <c r="L45" s="301"/>
      <c r="M45" s="301"/>
      <c r="N45" s="301"/>
      <c r="O45" s="301"/>
      <c r="P45" s="301"/>
    </row>
    <row r="46" spans="1:16" ht="12.75">
      <c r="A46" s="301"/>
      <c r="B46" s="4"/>
      <c r="C46" s="5"/>
      <c r="D46" s="5" t="s">
        <v>118</v>
      </c>
      <c r="E46" s="5"/>
      <c r="F46" s="5"/>
      <c r="G46" s="243">
        <v>500</v>
      </c>
      <c r="H46" s="274">
        <v>0</v>
      </c>
      <c r="I46" s="276">
        <v>0</v>
      </c>
      <c r="J46" s="280">
        <v>0</v>
      </c>
      <c r="K46" s="6"/>
      <c r="L46" s="301"/>
      <c r="M46" s="301"/>
      <c r="N46" s="301"/>
      <c r="O46" s="301"/>
      <c r="P46" s="301"/>
    </row>
    <row r="47" spans="1:16" ht="12.75">
      <c r="A47" s="301"/>
      <c r="B47" s="4"/>
      <c r="C47" s="5"/>
      <c r="D47" s="5" t="s">
        <v>119</v>
      </c>
      <c r="E47" s="5"/>
      <c r="F47" s="5"/>
      <c r="G47" s="243">
        <v>480</v>
      </c>
      <c r="H47" s="274">
        <v>0</v>
      </c>
      <c r="I47" s="276">
        <v>0</v>
      </c>
      <c r="J47" s="280">
        <v>0</v>
      </c>
      <c r="K47" s="6"/>
      <c r="L47" s="301"/>
      <c r="M47" s="301"/>
      <c r="N47" s="301"/>
      <c r="O47" s="301"/>
      <c r="P47" s="301"/>
    </row>
    <row r="48" spans="1:16" ht="12.75">
      <c r="A48" s="301"/>
      <c r="B48" s="4"/>
      <c r="C48" s="5"/>
      <c r="D48" s="5" t="s">
        <v>120</v>
      </c>
      <c r="E48" s="5"/>
      <c r="F48" s="17"/>
      <c r="G48" s="243">
        <v>0</v>
      </c>
      <c r="H48" s="274">
        <v>0</v>
      </c>
      <c r="I48" s="276">
        <v>0</v>
      </c>
      <c r="J48" s="280">
        <v>0</v>
      </c>
      <c r="K48" s="6"/>
      <c r="L48" s="301"/>
      <c r="M48" s="301"/>
      <c r="N48" s="301"/>
      <c r="O48" s="301"/>
      <c r="P48" s="301"/>
    </row>
    <row r="49" spans="1:16" ht="12.75">
      <c r="A49" s="301"/>
      <c r="B49" s="4"/>
      <c r="C49" s="5"/>
      <c r="D49" s="5"/>
      <c r="E49" s="5"/>
      <c r="F49" s="5"/>
      <c r="G49" s="283"/>
      <c r="H49" s="5"/>
      <c r="I49" s="5"/>
      <c r="J49" s="5"/>
      <c r="K49" s="6"/>
      <c r="L49" s="301"/>
      <c r="M49" s="301"/>
      <c r="N49" s="301"/>
      <c r="O49" s="301"/>
      <c r="P49" s="301"/>
    </row>
    <row r="50" spans="1:16" ht="15.75">
      <c r="A50" s="301"/>
      <c r="B50" s="14"/>
      <c r="C50" s="30" t="s">
        <v>592</v>
      </c>
      <c r="D50" s="5"/>
      <c r="E50" s="5"/>
      <c r="F50" s="5"/>
      <c r="G50" s="283"/>
      <c r="H50" s="5"/>
      <c r="I50" s="5"/>
      <c r="J50" s="5"/>
      <c r="K50" s="6"/>
      <c r="L50" s="301"/>
      <c r="M50" s="301"/>
      <c r="N50" s="301"/>
      <c r="O50" s="301"/>
      <c r="P50" s="301"/>
    </row>
    <row r="51" spans="1:16" ht="12.75">
      <c r="A51" s="301"/>
      <c r="B51" s="4"/>
      <c r="C51" s="5"/>
      <c r="D51" s="5" t="s">
        <v>12</v>
      </c>
      <c r="E51" s="5"/>
      <c r="F51" s="5"/>
      <c r="G51" s="286">
        <v>4000</v>
      </c>
      <c r="H51" s="274">
        <v>0</v>
      </c>
      <c r="I51" s="276">
        <v>0</v>
      </c>
      <c r="J51" s="280">
        <v>0</v>
      </c>
      <c r="K51" s="6"/>
      <c r="L51" s="301"/>
      <c r="M51" s="301"/>
      <c r="N51" s="301"/>
      <c r="O51" s="301"/>
      <c r="P51" s="301"/>
    </row>
    <row r="52" spans="1:16" ht="12.75">
      <c r="A52" s="301"/>
      <c r="B52" s="4"/>
      <c r="C52" s="5"/>
      <c r="D52" s="5" t="s">
        <v>102</v>
      </c>
      <c r="E52" s="5"/>
      <c r="F52" s="5"/>
      <c r="G52" s="243">
        <v>1100</v>
      </c>
      <c r="H52" s="274">
        <v>0</v>
      </c>
      <c r="I52" s="276">
        <v>0</v>
      </c>
      <c r="J52" s="280">
        <v>0</v>
      </c>
      <c r="K52" s="6"/>
      <c r="L52" s="301"/>
      <c r="M52" s="301"/>
      <c r="N52" s="301"/>
      <c r="O52" s="301"/>
      <c r="P52" s="301"/>
    </row>
    <row r="53" spans="1:16" ht="12.75">
      <c r="A53" s="301"/>
      <c r="B53" s="4"/>
      <c r="C53" s="5"/>
      <c r="D53" s="5" t="s">
        <v>103</v>
      </c>
      <c r="E53" s="5"/>
      <c r="F53" s="5"/>
      <c r="G53" s="243">
        <v>260</v>
      </c>
      <c r="H53" s="274">
        <v>0</v>
      </c>
      <c r="I53" s="276">
        <v>0</v>
      </c>
      <c r="J53" s="280">
        <v>0</v>
      </c>
      <c r="K53" s="6"/>
      <c r="L53" s="301"/>
      <c r="M53" s="301"/>
      <c r="N53" s="301"/>
      <c r="O53" s="301"/>
      <c r="P53" s="301"/>
    </row>
    <row r="54" spans="1:16" ht="12.75">
      <c r="A54" s="301"/>
      <c r="B54" s="4"/>
      <c r="C54" s="5"/>
      <c r="D54" s="5" t="s">
        <v>104</v>
      </c>
      <c r="E54" s="5"/>
      <c r="F54" s="5"/>
      <c r="G54" s="243">
        <v>800</v>
      </c>
      <c r="H54" s="274">
        <v>0</v>
      </c>
      <c r="I54" s="276">
        <v>0</v>
      </c>
      <c r="J54" s="280">
        <v>0</v>
      </c>
      <c r="K54" s="6"/>
      <c r="L54" s="301"/>
      <c r="M54" s="301"/>
      <c r="N54" s="301"/>
      <c r="O54" s="301"/>
      <c r="P54" s="301"/>
    </row>
    <row r="55" spans="1:16" ht="12.75">
      <c r="A55" s="301"/>
      <c r="B55" s="4"/>
      <c r="C55" s="5"/>
      <c r="D55" s="5" t="s">
        <v>250</v>
      </c>
      <c r="E55" s="5"/>
      <c r="F55" s="5"/>
      <c r="G55" s="243">
        <v>150</v>
      </c>
      <c r="H55" s="274">
        <v>0</v>
      </c>
      <c r="I55" s="276">
        <v>0</v>
      </c>
      <c r="J55" s="280">
        <v>0</v>
      </c>
      <c r="K55" s="6"/>
      <c r="L55" s="301"/>
      <c r="M55" s="301"/>
      <c r="N55" s="301"/>
      <c r="O55" s="301"/>
      <c r="P55" s="301"/>
    </row>
    <row r="56" spans="1:16" ht="12.75">
      <c r="A56" s="301"/>
      <c r="B56" s="4"/>
      <c r="C56" s="5"/>
      <c r="D56" s="5" t="s">
        <v>588</v>
      </c>
      <c r="E56" s="5"/>
      <c r="F56" s="5"/>
      <c r="G56" s="243">
        <v>1200</v>
      </c>
      <c r="H56" s="274">
        <v>0</v>
      </c>
      <c r="I56" s="276">
        <v>0</v>
      </c>
      <c r="J56" s="280">
        <v>0</v>
      </c>
      <c r="K56" s="6"/>
      <c r="L56" s="301"/>
      <c r="M56" s="301"/>
      <c r="N56" s="301"/>
      <c r="O56" s="301"/>
      <c r="P56" s="301"/>
    </row>
    <row r="57" spans="1:16" ht="12.75">
      <c r="A57" s="301"/>
      <c r="B57" s="4"/>
      <c r="C57" s="5"/>
      <c r="D57" s="5" t="s">
        <v>251</v>
      </c>
      <c r="E57" s="5"/>
      <c r="F57" s="5"/>
      <c r="G57" s="243">
        <v>5000</v>
      </c>
      <c r="H57" s="274">
        <v>0</v>
      </c>
      <c r="I57" s="276">
        <v>0</v>
      </c>
      <c r="J57" s="280">
        <v>0</v>
      </c>
      <c r="K57" s="6"/>
      <c r="L57" s="301"/>
      <c r="M57" s="301"/>
      <c r="N57" s="301"/>
      <c r="O57" s="301"/>
      <c r="P57" s="301"/>
    </row>
    <row r="58" spans="1:16" ht="12.75">
      <c r="A58" s="301"/>
      <c r="B58" s="4"/>
      <c r="C58" s="5"/>
      <c r="D58" s="5" t="s">
        <v>252</v>
      </c>
      <c r="E58" s="5"/>
      <c r="F58" s="5"/>
      <c r="G58" s="243">
        <v>900</v>
      </c>
      <c r="H58" s="274">
        <v>0</v>
      </c>
      <c r="I58" s="276">
        <v>0</v>
      </c>
      <c r="J58" s="280">
        <v>0</v>
      </c>
      <c r="K58" s="6"/>
      <c r="L58" s="301"/>
      <c r="M58" s="301"/>
      <c r="N58" s="301"/>
      <c r="O58" s="301"/>
      <c r="P58" s="301"/>
    </row>
    <row r="59" spans="1:16" ht="12.75">
      <c r="A59" s="301"/>
      <c r="B59" s="4"/>
      <c r="C59" s="5"/>
      <c r="D59" s="5" t="s">
        <v>253</v>
      </c>
      <c r="E59" s="5"/>
      <c r="F59" s="5"/>
      <c r="G59" s="243">
        <v>550</v>
      </c>
      <c r="H59" s="274">
        <v>0</v>
      </c>
      <c r="I59" s="276">
        <v>0</v>
      </c>
      <c r="J59" s="280">
        <v>0</v>
      </c>
      <c r="K59" s="6"/>
      <c r="L59" s="301"/>
      <c r="M59" s="301"/>
      <c r="N59" s="301"/>
      <c r="O59" s="301"/>
      <c r="P59" s="301"/>
    </row>
    <row r="60" spans="1:16" ht="12.75">
      <c r="A60" s="301"/>
      <c r="B60" s="4"/>
      <c r="C60" s="5"/>
      <c r="D60" s="5" t="s">
        <v>25</v>
      </c>
      <c r="E60" s="5"/>
      <c r="F60" s="17"/>
      <c r="G60" s="243">
        <v>0</v>
      </c>
      <c r="H60" s="274">
        <v>0</v>
      </c>
      <c r="I60" s="276">
        <v>0</v>
      </c>
      <c r="J60" s="280">
        <v>0</v>
      </c>
      <c r="K60" s="6"/>
      <c r="L60" s="301"/>
      <c r="M60" s="301"/>
      <c r="N60" s="301"/>
      <c r="O60" s="301"/>
      <c r="P60" s="301"/>
    </row>
    <row r="61" spans="1:16" ht="12.75">
      <c r="A61" s="301"/>
      <c r="B61" s="4"/>
      <c r="C61" s="5"/>
      <c r="D61" s="5"/>
      <c r="E61" s="5"/>
      <c r="F61" s="5"/>
      <c r="G61" s="283"/>
      <c r="H61" s="5"/>
      <c r="I61" s="5"/>
      <c r="J61" s="5"/>
      <c r="K61" s="6"/>
      <c r="L61" s="301"/>
      <c r="M61" s="301"/>
      <c r="N61" s="301"/>
      <c r="O61" s="301"/>
      <c r="P61" s="301"/>
    </row>
    <row r="62" spans="1:16" ht="15.75">
      <c r="A62" s="301"/>
      <c r="B62" s="14"/>
      <c r="C62" s="30" t="s">
        <v>593</v>
      </c>
      <c r="D62" s="5"/>
      <c r="E62" s="5"/>
      <c r="F62" s="5"/>
      <c r="G62" s="283"/>
      <c r="H62" s="5"/>
      <c r="I62" s="5"/>
      <c r="J62" s="5"/>
      <c r="K62" s="6"/>
      <c r="L62" s="301"/>
      <c r="M62" s="301"/>
      <c r="N62" s="301"/>
      <c r="O62" s="301"/>
      <c r="P62" s="301"/>
    </row>
    <row r="63" spans="1:16" ht="12.75">
      <c r="A63" s="301"/>
      <c r="B63" s="4"/>
      <c r="C63" s="5"/>
      <c r="D63" s="5" t="s">
        <v>256</v>
      </c>
      <c r="E63" s="5"/>
      <c r="F63" s="5"/>
      <c r="G63" s="243">
        <v>0</v>
      </c>
      <c r="H63" s="274">
        <v>0</v>
      </c>
      <c r="I63" s="276">
        <v>0</v>
      </c>
      <c r="J63" s="280">
        <v>0</v>
      </c>
      <c r="K63" s="6"/>
      <c r="L63" s="301"/>
      <c r="M63" s="301"/>
      <c r="N63" s="301"/>
      <c r="O63" s="301"/>
      <c r="P63" s="301"/>
    </row>
    <row r="64" spans="1:16" ht="12.75">
      <c r="A64" s="301"/>
      <c r="B64" s="4"/>
      <c r="C64" s="5"/>
      <c r="D64" s="5" t="s">
        <v>102</v>
      </c>
      <c r="E64" s="5"/>
      <c r="F64" s="5"/>
      <c r="G64" s="243">
        <v>0</v>
      </c>
      <c r="H64" s="274">
        <v>0</v>
      </c>
      <c r="I64" s="276">
        <v>0</v>
      </c>
      <c r="J64" s="280">
        <v>0</v>
      </c>
      <c r="K64" s="6"/>
      <c r="L64" s="301"/>
      <c r="M64" s="301"/>
      <c r="N64" s="301"/>
      <c r="O64" s="301"/>
      <c r="P64" s="301"/>
    </row>
    <row r="65" spans="1:16" ht="12.75">
      <c r="A65" s="301"/>
      <c r="B65" s="4"/>
      <c r="C65" s="5"/>
      <c r="D65" s="5" t="s">
        <v>103</v>
      </c>
      <c r="E65" s="5"/>
      <c r="F65" s="5"/>
      <c r="G65" s="243">
        <v>0</v>
      </c>
      <c r="H65" s="274">
        <v>0</v>
      </c>
      <c r="I65" s="276">
        <v>0</v>
      </c>
      <c r="J65" s="280">
        <v>0</v>
      </c>
      <c r="K65" s="6"/>
      <c r="L65" s="301"/>
      <c r="M65" s="301"/>
      <c r="N65" s="301"/>
      <c r="O65" s="301"/>
      <c r="P65" s="301"/>
    </row>
    <row r="66" spans="1:16" ht="12.75">
      <c r="A66" s="301"/>
      <c r="B66" s="4"/>
      <c r="C66" s="5"/>
      <c r="D66" s="5" t="s">
        <v>104</v>
      </c>
      <c r="E66" s="5"/>
      <c r="F66" s="5"/>
      <c r="G66" s="243">
        <v>0</v>
      </c>
      <c r="H66" s="274">
        <v>0</v>
      </c>
      <c r="I66" s="276">
        <v>0</v>
      </c>
      <c r="J66" s="280">
        <v>0</v>
      </c>
      <c r="K66" s="6"/>
      <c r="L66" s="301"/>
      <c r="M66" s="301"/>
      <c r="N66" s="301"/>
      <c r="O66" s="301"/>
      <c r="P66" s="301"/>
    </row>
    <row r="67" spans="1:16" ht="12.75">
      <c r="A67" s="301"/>
      <c r="B67" s="4"/>
      <c r="C67" s="5"/>
      <c r="D67" s="5" t="s">
        <v>250</v>
      </c>
      <c r="E67" s="5"/>
      <c r="F67" s="5"/>
      <c r="G67" s="243">
        <v>0</v>
      </c>
      <c r="H67" s="274">
        <v>0</v>
      </c>
      <c r="I67" s="276">
        <v>0</v>
      </c>
      <c r="J67" s="280">
        <v>0</v>
      </c>
      <c r="K67" s="6"/>
      <c r="L67" s="301"/>
      <c r="M67" s="301"/>
      <c r="N67" s="301"/>
      <c r="O67" s="301"/>
      <c r="P67" s="301"/>
    </row>
    <row r="68" spans="1:16" ht="12.75">
      <c r="A68" s="301"/>
      <c r="B68" s="4"/>
      <c r="C68" s="5"/>
      <c r="D68" s="5" t="s">
        <v>254</v>
      </c>
      <c r="E68" s="5"/>
      <c r="F68" s="5"/>
      <c r="G68" s="243">
        <v>0</v>
      </c>
      <c r="H68" s="274">
        <v>0</v>
      </c>
      <c r="I68" s="276">
        <v>0</v>
      </c>
      <c r="J68" s="280">
        <v>0</v>
      </c>
      <c r="K68" s="6"/>
      <c r="L68" s="301"/>
      <c r="M68" s="301"/>
      <c r="N68" s="301"/>
      <c r="O68" s="301"/>
      <c r="P68" s="301"/>
    </row>
    <row r="69" spans="1:16" ht="12.75">
      <c r="A69" s="301"/>
      <c r="B69" s="4"/>
      <c r="C69" s="5"/>
      <c r="D69" s="5" t="s">
        <v>251</v>
      </c>
      <c r="E69" s="5"/>
      <c r="F69" s="5"/>
      <c r="G69" s="243">
        <v>0</v>
      </c>
      <c r="H69" s="274">
        <v>0</v>
      </c>
      <c r="I69" s="276">
        <v>0</v>
      </c>
      <c r="J69" s="280">
        <v>0</v>
      </c>
      <c r="K69" s="6"/>
      <c r="L69" s="301"/>
      <c r="M69" s="301"/>
      <c r="N69" s="301"/>
      <c r="O69" s="301"/>
      <c r="P69" s="301"/>
    </row>
    <row r="70" spans="1:16" ht="12.75">
      <c r="A70" s="301"/>
      <c r="B70" s="4"/>
      <c r="C70" s="5"/>
      <c r="D70" s="5" t="s">
        <v>255</v>
      </c>
      <c r="E70" s="5"/>
      <c r="F70" s="5"/>
      <c r="G70" s="243">
        <v>0</v>
      </c>
      <c r="H70" s="274">
        <v>0</v>
      </c>
      <c r="I70" s="276">
        <v>0</v>
      </c>
      <c r="J70" s="280">
        <v>0</v>
      </c>
      <c r="K70" s="6"/>
      <c r="L70" s="301"/>
      <c r="M70" s="301"/>
      <c r="N70" s="301"/>
      <c r="O70" s="301"/>
      <c r="P70" s="301"/>
    </row>
    <row r="71" spans="1:16" ht="12.75">
      <c r="A71" s="301"/>
      <c r="B71" s="4"/>
      <c r="C71" s="5"/>
      <c r="D71" s="5" t="s">
        <v>106</v>
      </c>
      <c r="E71" s="5"/>
      <c r="F71" s="5"/>
      <c r="G71" s="243">
        <v>0</v>
      </c>
      <c r="H71" s="274">
        <v>0</v>
      </c>
      <c r="I71" s="276">
        <v>0</v>
      </c>
      <c r="J71" s="280">
        <v>0</v>
      </c>
      <c r="K71" s="6"/>
      <c r="L71" s="301"/>
      <c r="M71" s="301"/>
      <c r="N71" s="301"/>
      <c r="O71" s="301"/>
      <c r="P71" s="301"/>
    </row>
    <row r="72" spans="1:16" ht="12.75">
      <c r="A72" s="301"/>
      <c r="B72" s="4"/>
      <c r="C72" s="5"/>
      <c r="D72" s="5" t="s">
        <v>25</v>
      </c>
      <c r="E72" s="5"/>
      <c r="F72" s="17"/>
      <c r="G72" s="243">
        <v>0</v>
      </c>
      <c r="H72" s="274">
        <v>0</v>
      </c>
      <c r="I72" s="276">
        <v>0</v>
      </c>
      <c r="J72" s="280">
        <v>0</v>
      </c>
      <c r="K72" s="6"/>
      <c r="L72" s="301"/>
      <c r="M72" s="301"/>
      <c r="N72" s="301"/>
      <c r="O72" s="301"/>
      <c r="P72" s="301"/>
    </row>
    <row r="73" spans="1:16" ht="12.75">
      <c r="A73" s="301"/>
      <c r="B73" s="4"/>
      <c r="C73" s="5"/>
      <c r="D73" s="5"/>
      <c r="E73" s="5"/>
      <c r="F73" s="5"/>
      <c r="G73" s="293"/>
      <c r="H73" s="344"/>
      <c r="I73" s="344"/>
      <c r="J73" s="344"/>
      <c r="K73" s="6"/>
      <c r="L73" s="301"/>
      <c r="M73" s="301"/>
      <c r="N73" s="301"/>
      <c r="O73" s="301"/>
      <c r="P73" s="301"/>
    </row>
    <row r="74" spans="1:16" ht="12.75">
      <c r="A74" s="301"/>
      <c r="B74" s="4"/>
      <c r="C74" s="361" t="s">
        <v>594</v>
      </c>
      <c r="D74" s="362"/>
      <c r="E74" s="362"/>
      <c r="F74" s="362"/>
      <c r="G74" s="362"/>
      <c r="H74" s="362"/>
      <c r="I74" s="362"/>
      <c r="J74" s="363"/>
      <c r="K74" s="6"/>
      <c r="L74" s="301"/>
      <c r="M74" s="301"/>
      <c r="N74" s="301"/>
      <c r="O74" s="301"/>
      <c r="P74" s="301"/>
    </row>
    <row r="75" spans="1:16" ht="13.5" thickBot="1">
      <c r="A75" s="301"/>
      <c r="B75" s="7"/>
      <c r="C75" s="8"/>
      <c r="D75" s="8"/>
      <c r="E75" s="8"/>
      <c r="F75" s="8"/>
      <c r="G75" s="8"/>
      <c r="H75" s="8"/>
      <c r="I75" s="8"/>
      <c r="J75" s="8"/>
      <c r="K75" s="9"/>
      <c r="L75" s="301"/>
      <c r="M75" s="301"/>
      <c r="N75" s="301"/>
      <c r="O75" s="301"/>
      <c r="P75" s="301"/>
    </row>
    <row r="76" spans="1:17" ht="13.5" thickTop="1">
      <c r="A76" s="301"/>
      <c r="B76" s="301"/>
      <c r="C76" s="301"/>
      <c r="D76" s="301"/>
      <c r="E76" s="301"/>
      <c r="F76" s="301"/>
      <c r="G76" s="301"/>
      <c r="H76" s="301"/>
      <c r="I76" s="301"/>
      <c r="J76" s="301"/>
      <c r="K76" s="301"/>
      <c r="L76" s="301"/>
      <c r="M76" s="301"/>
      <c r="N76" s="301"/>
      <c r="O76" s="301"/>
      <c r="P76" s="301"/>
      <c r="Q76" s="301"/>
    </row>
    <row r="77" spans="1:17" ht="12.75">
      <c r="A77" s="301"/>
      <c r="B77" s="301"/>
      <c r="C77" s="301"/>
      <c r="D77" s="301"/>
      <c r="E77" s="301"/>
      <c r="F77" s="301"/>
      <c r="G77" s="301"/>
      <c r="H77" s="301"/>
      <c r="I77" s="301"/>
      <c r="J77" s="301"/>
      <c r="K77" s="301"/>
      <c r="L77" s="301"/>
      <c r="M77" s="301"/>
      <c r="N77" s="301"/>
      <c r="O77" s="301"/>
      <c r="P77" s="301"/>
      <c r="Q77" s="301"/>
    </row>
    <row r="78" spans="1:17" ht="12.75">
      <c r="A78" s="301"/>
      <c r="B78" s="301"/>
      <c r="C78" s="301"/>
      <c r="D78" s="301"/>
      <c r="E78" s="301"/>
      <c r="F78" s="301"/>
      <c r="G78" s="301"/>
      <c r="H78" s="301"/>
      <c r="I78" s="301"/>
      <c r="J78" s="301"/>
      <c r="K78" s="301"/>
      <c r="L78" s="301"/>
      <c r="M78" s="301"/>
      <c r="N78" s="301"/>
      <c r="O78" s="301"/>
      <c r="P78" s="301"/>
      <c r="Q78" s="301"/>
    </row>
    <row r="79" spans="1:17" ht="12.75">
      <c r="A79" s="301"/>
      <c r="B79" s="301"/>
      <c r="C79" s="301"/>
      <c r="D79" s="301"/>
      <c r="E79" s="301"/>
      <c r="F79" s="301"/>
      <c r="G79" s="301"/>
      <c r="H79" s="301"/>
      <c r="I79" s="301"/>
      <c r="J79" s="301"/>
      <c r="K79" s="301"/>
      <c r="L79" s="301"/>
      <c r="M79" s="301"/>
      <c r="N79" s="301"/>
      <c r="O79" s="301"/>
      <c r="P79" s="301"/>
      <c r="Q79" s="301"/>
    </row>
    <row r="80" spans="1:17" ht="12.75">
      <c r="A80" s="301"/>
      <c r="B80" s="301"/>
      <c r="C80" s="301"/>
      <c r="D80" s="301"/>
      <c r="E80" s="301"/>
      <c r="F80" s="301"/>
      <c r="G80" s="301"/>
      <c r="H80" s="301"/>
      <c r="I80" s="301"/>
      <c r="J80" s="301"/>
      <c r="K80" s="301"/>
      <c r="L80" s="301"/>
      <c r="M80" s="301"/>
      <c r="N80" s="301"/>
      <c r="O80" s="301"/>
      <c r="P80" s="301"/>
      <c r="Q80" s="301"/>
    </row>
    <row r="81" spans="1:17" ht="12.75">
      <c r="A81" s="301"/>
      <c r="B81" s="301"/>
      <c r="C81" s="301"/>
      <c r="D81" s="301"/>
      <c r="E81" s="301"/>
      <c r="F81" s="301"/>
      <c r="G81" s="301"/>
      <c r="H81" s="301"/>
      <c r="I81" s="301"/>
      <c r="J81" s="301"/>
      <c r="K81" s="301"/>
      <c r="L81" s="301"/>
      <c r="M81" s="301"/>
      <c r="N81" s="301"/>
      <c r="O81" s="301"/>
      <c r="P81" s="301"/>
      <c r="Q81" s="301"/>
    </row>
    <row r="82" spans="1:17" ht="12.75">
      <c r="A82" s="301"/>
      <c r="B82" s="301"/>
      <c r="C82" s="301"/>
      <c r="D82" s="301"/>
      <c r="E82" s="301"/>
      <c r="F82" s="301"/>
      <c r="G82" s="301"/>
      <c r="H82" s="301"/>
      <c r="I82" s="301"/>
      <c r="J82" s="301"/>
      <c r="K82" s="301"/>
      <c r="L82" s="301"/>
      <c r="M82" s="301"/>
      <c r="N82" s="301"/>
      <c r="O82" s="301"/>
      <c r="P82" s="301"/>
      <c r="Q82" s="301"/>
    </row>
    <row r="83" spans="1:17" ht="12.75">
      <c r="A83" s="301"/>
      <c r="B83" s="301"/>
      <c r="C83" s="301"/>
      <c r="D83" s="301"/>
      <c r="E83" s="301"/>
      <c r="F83" s="301"/>
      <c r="G83" s="301"/>
      <c r="H83" s="301"/>
      <c r="I83" s="301"/>
      <c r="J83" s="301"/>
      <c r="K83" s="301"/>
      <c r="L83" s="301"/>
      <c r="M83" s="301"/>
      <c r="N83" s="301"/>
      <c r="O83" s="301"/>
      <c r="P83" s="301"/>
      <c r="Q83" s="301"/>
    </row>
    <row r="84" spans="1:17" ht="12.75">
      <c r="A84" s="301"/>
      <c r="B84" s="301"/>
      <c r="C84" s="301"/>
      <c r="D84" s="301"/>
      <c r="E84" s="301"/>
      <c r="F84" s="301"/>
      <c r="G84" s="301"/>
      <c r="H84" s="301"/>
      <c r="I84" s="301"/>
      <c r="J84" s="301"/>
      <c r="K84" s="301"/>
      <c r="L84" s="301"/>
      <c r="M84" s="301"/>
      <c r="N84" s="301"/>
      <c r="O84" s="301"/>
      <c r="P84" s="301"/>
      <c r="Q84" s="301"/>
    </row>
    <row r="85" spans="1:17" ht="12.75">
      <c r="A85" s="301"/>
      <c r="B85" s="301"/>
      <c r="C85" s="301"/>
      <c r="D85" s="301"/>
      <c r="E85" s="301"/>
      <c r="F85" s="301"/>
      <c r="G85" s="301"/>
      <c r="H85" s="301"/>
      <c r="I85" s="301"/>
      <c r="J85" s="301"/>
      <c r="K85" s="301"/>
      <c r="L85" s="301"/>
      <c r="M85" s="301"/>
      <c r="N85" s="301"/>
      <c r="O85" s="301"/>
      <c r="P85" s="301"/>
      <c r="Q85" s="301"/>
    </row>
    <row r="86" spans="1:17" ht="12.75">
      <c r="A86" s="301"/>
      <c r="B86" s="301"/>
      <c r="C86" s="301"/>
      <c r="D86" s="301"/>
      <c r="E86" s="301"/>
      <c r="F86" s="301"/>
      <c r="G86" s="301"/>
      <c r="H86" s="301"/>
      <c r="I86" s="301"/>
      <c r="J86" s="301"/>
      <c r="K86" s="301"/>
      <c r="L86" s="301"/>
      <c r="M86" s="301"/>
      <c r="N86" s="301"/>
      <c r="O86" s="301"/>
      <c r="P86" s="301"/>
      <c r="Q86" s="301"/>
    </row>
    <row r="87" spans="1:17" ht="12.75">
      <c r="A87" s="301"/>
      <c r="B87" s="301"/>
      <c r="C87" s="301"/>
      <c r="D87" s="301"/>
      <c r="E87" s="301"/>
      <c r="F87" s="301"/>
      <c r="G87" s="301"/>
      <c r="H87" s="301"/>
      <c r="I87" s="301"/>
      <c r="J87" s="301"/>
      <c r="K87" s="301"/>
      <c r="L87" s="301"/>
      <c r="M87" s="301"/>
      <c r="N87" s="301"/>
      <c r="O87" s="301"/>
      <c r="P87" s="301"/>
      <c r="Q87" s="301"/>
    </row>
    <row r="88" spans="1:17" ht="12.75">
      <c r="A88" s="301"/>
      <c r="B88" s="301"/>
      <c r="C88" s="301"/>
      <c r="D88" s="301"/>
      <c r="E88" s="301"/>
      <c r="F88" s="301"/>
      <c r="G88" s="301"/>
      <c r="H88" s="301"/>
      <c r="I88" s="301"/>
      <c r="J88" s="301"/>
      <c r="K88" s="301"/>
      <c r="L88" s="301"/>
      <c r="M88" s="301"/>
      <c r="N88" s="301"/>
      <c r="O88" s="301"/>
      <c r="P88" s="301"/>
      <c r="Q88" s="301"/>
    </row>
    <row r="89" spans="1:17" ht="12.75">
      <c r="A89" s="301"/>
      <c r="B89" s="301"/>
      <c r="C89" s="301"/>
      <c r="D89" s="301"/>
      <c r="E89" s="301"/>
      <c r="F89" s="301"/>
      <c r="G89" s="301"/>
      <c r="H89" s="301"/>
      <c r="I89" s="301"/>
      <c r="J89" s="301"/>
      <c r="K89" s="301"/>
      <c r="L89" s="301"/>
      <c r="M89" s="301"/>
      <c r="N89" s="301"/>
      <c r="O89" s="301"/>
      <c r="P89" s="301"/>
      <c r="Q89" s="301"/>
    </row>
    <row r="90" spans="1:17" ht="12.75">
      <c r="A90" s="301"/>
      <c r="B90" s="301"/>
      <c r="C90" s="301"/>
      <c r="D90" s="301"/>
      <c r="E90" s="301"/>
      <c r="F90" s="301"/>
      <c r="G90" s="301"/>
      <c r="H90" s="301"/>
      <c r="I90" s="301"/>
      <c r="J90" s="301"/>
      <c r="K90" s="301"/>
      <c r="L90" s="301"/>
      <c r="M90" s="301"/>
      <c r="N90" s="301"/>
      <c r="O90" s="301"/>
      <c r="P90" s="301"/>
      <c r="Q90" s="301"/>
    </row>
    <row r="91" spans="1:17" ht="12.75">
      <c r="A91" s="301"/>
      <c r="B91" s="301"/>
      <c r="C91" s="301"/>
      <c r="D91" s="301"/>
      <c r="E91" s="301"/>
      <c r="F91" s="301"/>
      <c r="G91" s="301"/>
      <c r="H91" s="301"/>
      <c r="I91" s="301"/>
      <c r="J91" s="301"/>
      <c r="K91" s="301"/>
      <c r="L91" s="301"/>
      <c r="M91" s="301"/>
      <c r="N91" s="301"/>
      <c r="O91" s="301"/>
      <c r="P91" s="301"/>
      <c r="Q91" s="301"/>
    </row>
    <row r="92" spans="1:17" ht="12.75">
      <c r="A92" s="301"/>
      <c r="B92" s="301"/>
      <c r="C92" s="301"/>
      <c r="D92" s="301"/>
      <c r="E92" s="301"/>
      <c r="F92" s="301"/>
      <c r="G92" s="301"/>
      <c r="H92" s="301"/>
      <c r="I92" s="301"/>
      <c r="J92" s="301"/>
      <c r="K92" s="301"/>
      <c r="L92" s="301"/>
      <c r="M92" s="301"/>
      <c r="N92" s="301"/>
      <c r="O92" s="301"/>
      <c r="P92" s="301"/>
      <c r="Q92" s="301"/>
    </row>
    <row r="93" spans="1:17" ht="12.75">
      <c r="A93" s="301"/>
      <c r="B93" s="301"/>
      <c r="C93" s="301"/>
      <c r="D93" s="301"/>
      <c r="E93" s="301"/>
      <c r="F93" s="301"/>
      <c r="G93" s="301"/>
      <c r="H93" s="301"/>
      <c r="I93" s="301"/>
      <c r="J93" s="301"/>
      <c r="K93" s="301"/>
      <c r="L93" s="301"/>
      <c r="M93" s="301"/>
      <c r="N93" s="301"/>
      <c r="O93" s="301"/>
      <c r="P93" s="301"/>
      <c r="Q93" s="301"/>
    </row>
    <row r="94" spans="1:17" ht="12.75">
      <c r="A94" s="301"/>
      <c r="B94" s="301"/>
      <c r="C94" s="301"/>
      <c r="D94" s="301"/>
      <c r="E94" s="301"/>
      <c r="F94" s="301"/>
      <c r="G94" s="301"/>
      <c r="H94" s="301"/>
      <c r="I94" s="301"/>
      <c r="J94" s="301"/>
      <c r="K94" s="301"/>
      <c r="L94" s="301"/>
      <c r="M94" s="301"/>
      <c r="N94" s="301"/>
      <c r="O94" s="301"/>
      <c r="P94" s="301"/>
      <c r="Q94" s="301"/>
    </row>
    <row r="95" spans="1:17" ht="12.75">
      <c r="A95" s="301"/>
      <c r="B95" s="301"/>
      <c r="C95" s="301"/>
      <c r="D95" s="301"/>
      <c r="E95" s="301"/>
      <c r="F95" s="301"/>
      <c r="G95" s="301"/>
      <c r="H95" s="301"/>
      <c r="I95" s="301"/>
      <c r="J95" s="301"/>
      <c r="K95" s="301"/>
      <c r="L95" s="301"/>
      <c r="M95" s="301"/>
      <c r="N95" s="301"/>
      <c r="O95" s="301"/>
      <c r="P95" s="301"/>
      <c r="Q95" s="301"/>
    </row>
    <row r="96" spans="1:17" ht="12.75">
      <c r="A96" s="301"/>
      <c r="B96" s="301"/>
      <c r="C96" s="301"/>
      <c r="D96" s="301"/>
      <c r="E96" s="301"/>
      <c r="F96" s="301"/>
      <c r="G96" s="301"/>
      <c r="H96" s="301"/>
      <c r="I96" s="301"/>
      <c r="J96" s="301"/>
      <c r="K96" s="301"/>
      <c r="L96" s="301"/>
      <c r="M96" s="301"/>
      <c r="N96" s="301"/>
      <c r="O96" s="301"/>
      <c r="P96" s="301"/>
      <c r="Q96" s="301"/>
    </row>
    <row r="97" spans="1:17" ht="12.75">
      <c r="A97" s="301"/>
      <c r="B97" s="301"/>
      <c r="C97" s="301"/>
      <c r="D97" s="301"/>
      <c r="E97" s="301"/>
      <c r="F97" s="301"/>
      <c r="G97" s="301"/>
      <c r="H97" s="301"/>
      <c r="I97" s="301"/>
      <c r="J97" s="301"/>
      <c r="K97" s="301"/>
      <c r="L97" s="301"/>
      <c r="M97" s="301"/>
      <c r="N97" s="301"/>
      <c r="O97" s="301"/>
      <c r="P97" s="301"/>
      <c r="Q97" s="301"/>
    </row>
    <row r="98" spans="1:17" ht="12.75">
      <c r="A98" s="301"/>
      <c r="B98" s="301"/>
      <c r="C98" s="301"/>
      <c r="D98" s="301"/>
      <c r="E98" s="301"/>
      <c r="F98" s="301"/>
      <c r="G98" s="301"/>
      <c r="H98" s="301"/>
      <c r="I98" s="301"/>
      <c r="J98" s="301"/>
      <c r="K98" s="301"/>
      <c r="L98" s="301"/>
      <c r="M98" s="301"/>
      <c r="N98" s="301"/>
      <c r="O98" s="301"/>
      <c r="P98" s="301"/>
      <c r="Q98" s="301"/>
    </row>
    <row r="99" spans="1:17" ht="12.75">
      <c r="A99" s="301"/>
      <c r="B99" s="301"/>
      <c r="C99" s="301"/>
      <c r="D99" s="301"/>
      <c r="E99" s="301"/>
      <c r="F99" s="301"/>
      <c r="G99" s="301"/>
      <c r="H99" s="301"/>
      <c r="I99" s="301"/>
      <c r="J99" s="301"/>
      <c r="K99" s="301"/>
      <c r="L99" s="301"/>
      <c r="M99" s="301"/>
      <c r="N99" s="301"/>
      <c r="O99" s="301"/>
      <c r="P99" s="301"/>
      <c r="Q99" s="301"/>
    </row>
    <row r="100" spans="1:17" ht="12.75">
      <c r="A100" s="301"/>
      <c r="B100" s="301"/>
      <c r="C100" s="301"/>
      <c r="D100" s="301"/>
      <c r="E100" s="301"/>
      <c r="F100" s="301"/>
      <c r="G100" s="301"/>
      <c r="H100" s="301"/>
      <c r="I100" s="301"/>
      <c r="J100" s="301"/>
      <c r="K100" s="301"/>
      <c r="L100" s="301"/>
      <c r="M100" s="301"/>
      <c r="N100" s="301"/>
      <c r="O100" s="301"/>
      <c r="P100" s="301"/>
      <c r="Q100" s="301"/>
    </row>
    <row r="101" spans="1:17" ht="12.75">
      <c r="A101" s="301"/>
      <c r="B101" s="301"/>
      <c r="C101" s="301"/>
      <c r="D101" s="301"/>
      <c r="E101" s="301"/>
      <c r="F101" s="301"/>
      <c r="G101" s="301"/>
      <c r="H101" s="301"/>
      <c r="I101" s="301"/>
      <c r="J101" s="301"/>
      <c r="K101" s="301"/>
      <c r="L101" s="301"/>
      <c r="M101" s="301"/>
      <c r="N101" s="301"/>
      <c r="O101" s="301"/>
      <c r="P101" s="301"/>
      <c r="Q101" s="301"/>
    </row>
    <row r="102" spans="1:17" ht="12.75">
      <c r="A102" s="301"/>
      <c r="B102" s="301"/>
      <c r="C102" s="301"/>
      <c r="D102" s="301"/>
      <c r="E102" s="301"/>
      <c r="F102" s="301"/>
      <c r="G102" s="301"/>
      <c r="H102" s="301"/>
      <c r="I102" s="301"/>
      <c r="J102" s="301"/>
      <c r="K102" s="301"/>
      <c r="L102" s="301"/>
      <c r="M102" s="301"/>
      <c r="N102" s="301"/>
      <c r="O102" s="301"/>
      <c r="P102" s="301"/>
      <c r="Q102" s="301"/>
    </row>
    <row r="103" spans="1:17" ht="12.75">
      <c r="A103" s="301"/>
      <c r="B103" s="301"/>
      <c r="C103" s="301"/>
      <c r="D103" s="301"/>
      <c r="E103" s="301"/>
      <c r="F103" s="301"/>
      <c r="G103" s="301"/>
      <c r="H103" s="301"/>
      <c r="I103" s="301"/>
      <c r="J103" s="301"/>
      <c r="K103" s="301"/>
      <c r="L103" s="301"/>
      <c r="M103" s="301"/>
      <c r="N103" s="301"/>
      <c r="O103" s="301"/>
      <c r="P103" s="301"/>
      <c r="Q103" s="301"/>
    </row>
    <row r="104" spans="1:17" ht="12.75">
      <c r="A104" s="301"/>
      <c r="B104" s="301"/>
      <c r="C104" s="301"/>
      <c r="D104" s="301"/>
      <c r="E104" s="301"/>
      <c r="F104" s="301"/>
      <c r="G104" s="301"/>
      <c r="H104" s="301"/>
      <c r="I104" s="301"/>
      <c r="J104" s="301"/>
      <c r="K104" s="301"/>
      <c r="L104" s="301"/>
      <c r="M104" s="301"/>
      <c r="N104" s="301"/>
      <c r="O104" s="301"/>
      <c r="P104" s="301"/>
      <c r="Q104" s="301"/>
    </row>
    <row r="105" spans="1:17" ht="12.75">
      <c r="A105" s="301"/>
      <c r="B105" s="301"/>
      <c r="C105" s="301"/>
      <c r="D105" s="301"/>
      <c r="E105" s="301"/>
      <c r="F105" s="301"/>
      <c r="G105" s="301"/>
      <c r="H105" s="301"/>
      <c r="I105" s="301"/>
      <c r="J105" s="301"/>
      <c r="K105" s="301"/>
      <c r="L105" s="301"/>
      <c r="M105" s="301"/>
      <c r="N105" s="301"/>
      <c r="O105" s="301"/>
      <c r="P105" s="301"/>
      <c r="Q105" s="301"/>
    </row>
    <row r="106" spans="1:17" ht="12.75">
      <c r="A106" s="301"/>
      <c r="B106" s="301"/>
      <c r="C106" s="301"/>
      <c r="D106" s="301"/>
      <c r="E106" s="301"/>
      <c r="F106" s="301"/>
      <c r="G106" s="301"/>
      <c r="H106" s="301"/>
      <c r="I106" s="301"/>
      <c r="J106" s="301"/>
      <c r="K106" s="301"/>
      <c r="L106" s="301"/>
      <c r="M106" s="301"/>
      <c r="N106" s="301"/>
      <c r="O106" s="301"/>
      <c r="P106" s="301"/>
      <c r="Q106" s="301"/>
    </row>
    <row r="107" spans="1:17" ht="12.75">
      <c r="A107" s="301"/>
      <c r="B107" s="301"/>
      <c r="C107" s="301"/>
      <c r="D107" s="301"/>
      <c r="E107" s="301"/>
      <c r="F107" s="301"/>
      <c r="G107" s="301"/>
      <c r="H107" s="301"/>
      <c r="I107" s="301"/>
      <c r="J107" s="301"/>
      <c r="K107" s="301"/>
      <c r="L107" s="301"/>
      <c r="M107" s="301"/>
      <c r="N107" s="301"/>
      <c r="O107" s="301"/>
      <c r="P107" s="301"/>
      <c r="Q107" s="301"/>
    </row>
    <row r="108" spans="1:17" ht="12.75">
      <c r="A108" s="301"/>
      <c r="B108" s="301"/>
      <c r="C108" s="301"/>
      <c r="D108" s="301"/>
      <c r="E108" s="301"/>
      <c r="F108" s="301"/>
      <c r="G108" s="301"/>
      <c r="H108" s="301"/>
      <c r="I108" s="301"/>
      <c r="J108" s="301"/>
      <c r="K108" s="301"/>
      <c r="L108" s="301"/>
      <c r="M108" s="301"/>
      <c r="N108" s="301"/>
      <c r="O108" s="301"/>
      <c r="P108" s="301"/>
      <c r="Q108" s="301"/>
    </row>
    <row r="109" spans="1:17" ht="12.75">
      <c r="A109" s="301"/>
      <c r="B109" s="301"/>
      <c r="C109" s="301"/>
      <c r="D109" s="301"/>
      <c r="E109" s="301"/>
      <c r="F109" s="301"/>
      <c r="G109" s="301"/>
      <c r="H109" s="301"/>
      <c r="I109" s="301"/>
      <c r="J109" s="301"/>
      <c r="K109" s="301"/>
      <c r="L109" s="301"/>
      <c r="M109" s="301"/>
      <c r="N109" s="301"/>
      <c r="O109" s="301"/>
      <c r="P109" s="301"/>
      <c r="Q109" s="301"/>
    </row>
    <row r="110" spans="1:17" ht="12.75">
      <c r="A110" s="301"/>
      <c r="B110" s="301"/>
      <c r="C110" s="301"/>
      <c r="D110" s="301"/>
      <c r="E110" s="301"/>
      <c r="F110" s="301"/>
      <c r="G110" s="301"/>
      <c r="H110" s="301"/>
      <c r="I110" s="301"/>
      <c r="J110" s="301"/>
      <c r="K110" s="301"/>
      <c r="L110" s="301"/>
      <c r="M110" s="301"/>
      <c r="N110" s="301"/>
      <c r="O110" s="301"/>
      <c r="P110" s="301"/>
      <c r="Q110" s="301"/>
    </row>
    <row r="111" spans="1:17" ht="12.75">
      <c r="A111" s="301"/>
      <c r="B111" s="301"/>
      <c r="C111" s="301"/>
      <c r="D111" s="301"/>
      <c r="E111" s="301"/>
      <c r="F111" s="301"/>
      <c r="G111" s="301"/>
      <c r="H111" s="301"/>
      <c r="I111" s="301"/>
      <c r="J111" s="301"/>
      <c r="K111" s="301"/>
      <c r="L111" s="301"/>
      <c r="M111" s="301"/>
      <c r="N111" s="301"/>
      <c r="O111" s="301"/>
      <c r="P111" s="301"/>
      <c r="Q111" s="301"/>
    </row>
    <row r="112" spans="1:17" ht="12.75">
      <c r="A112" s="301"/>
      <c r="B112" s="301"/>
      <c r="C112" s="301"/>
      <c r="D112" s="301"/>
      <c r="E112" s="301"/>
      <c r="F112" s="301"/>
      <c r="G112" s="301"/>
      <c r="H112" s="301"/>
      <c r="I112" s="301"/>
      <c r="J112" s="301"/>
      <c r="K112" s="301"/>
      <c r="L112" s="301"/>
      <c r="M112" s="301"/>
      <c r="N112" s="301"/>
      <c r="O112" s="301"/>
      <c r="P112" s="301"/>
      <c r="Q112" s="301"/>
    </row>
    <row r="113" spans="1:17" ht="12.75">
      <c r="A113" s="301"/>
      <c r="B113" s="301"/>
      <c r="C113" s="301"/>
      <c r="D113" s="301"/>
      <c r="E113" s="301"/>
      <c r="F113" s="301"/>
      <c r="G113" s="301"/>
      <c r="H113" s="301"/>
      <c r="I113" s="301"/>
      <c r="J113" s="301"/>
      <c r="K113" s="301"/>
      <c r="L113" s="301"/>
      <c r="M113" s="301"/>
      <c r="N113" s="301"/>
      <c r="O113" s="301"/>
      <c r="P113" s="301"/>
      <c r="Q113" s="301"/>
    </row>
    <row r="114" spans="1:17" ht="12.75">
      <c r="A114" s="301"/>
      <c r="B114" s="301"/>
      <c r="C114" s="301"/>
      <c r="D114" s="301"/>
      <c r="E114" s="301"/>
      <c r="F114" s="301"/>
      <c r="G114" s="301"/>
      <c r="H114" s="301"/>
      <c r="I114" s="301"/>
      <c r="J114" s="301"/>
      <c r="K114" s="301"/>
      <c r="L114" s="301"/>
      <c r="M114" s="301"/>
      <c r="N114" s="301"/>
      <c r="O114" s="301"/>
      <c r="P114" s="301"/>
      <c r="Q114" s="301"/>
    </row>
    <row r="115" spans="1:17" ht="12.75">
      <c r="A115" s="301"/>
      <c r="B115" s="301"/>
      <c r="C115" s="301"/>
      <c r="D115" s="301"/>
      <c r="E115" s="301"/>
      <c r="F115" s="301"/>
      <c r="G115" s="301"/>
      <c r="H115" s="301"/>
      <c r="I115" s="301"/>
      <c r="J115" s="301"/>
      <c r="K115" s="301"/>
      <c r="L115" s="301"/>
      <c r="M115" s="301"/>
      <c r="N115" s="301"/>
      <c r="O115" s="301"/>
      <c r="P115" s="301"/>
      <c r="Q115" s="301"/>
    </row>
    <row r="116" spans="1:17" ht="12.75">
      <c r="A116" s="301"/>
      <c r="B116" s="301"/>
      <c r="C116" s="301"/>
      <c r="D116" s="301"/>
      <c r="E116" s="301"/>
      <c r="F116" s="301"/>
      <c r="G116" s="301"/>
      <c r="H116" s="301"/>
      <c r="I116" s="301"/>
      <c r="J116" s="301"/>
      <c r="K116" s="301"/>
      <c r="L116" s="301"/>
      <c r="M116" s="301"/>
      <c r="N116" s="301"/>
      <c r="O116" s="301"/>
      <c r="P116" s="301"/>
      <c r="Q116" s="301"/>
    </row>
    <row r="117" spans="1:17" ht="12.75">
      <c r="A117" s="301"/>
      <c r="B117" s="301"/>
      <c r="C117" s="301"/>
      <c r="D117" s="301"/>
      <c r="E117" s="301"/>
      <c r="F117" s="301"/>
      <c r="G117" s="301"/>
      <c r="H117" s="301"/>
      <c r="I117" s="301"/>
      <c r="J117" s="301"/>
      <c r="K117" s="301"/>
      <c r="L117" s="301"/>
      <c r="M117" s="301"/>
      <c r="N117" s="301"/>
      <c r="O117" s="301"/>
      <c r="P117" s="301"/>
      <c r="Q117" s="301"/>
    </row>
    <row r="118" spans="1:17" ht="12.75">
      <c r="A118" s="301"/>
      <c r="B118" s="301"/>
      <c r="C118" s="301"/>
      <c r="D118" s="301"/>
      <c r="E118" s="301"/>
      <c r="F118" s="301"/>
      <c r="G118" s="301"/>
      <c r="H118" s="301"/>
      <c r="I118" s="301"/>
      <c r="J118" s="301"/>
      <c r="K118" s="301"/>
      <c r="L118" s="301"/>
      <c r="M118" s="301"/>
      <c r="N118" s="301"/>
      <c r="O118" s="301"/>
      <c r="P118" s="301"/>
      <c r="Q118" s="301"/>
    </row>
    <row r="119" spans="1:17" ht="12.75">
      <c r="A119" s="301"/>
      <c r="B119" s="301"/>
      <c r="C119" s="301"/>
      <c r="D119" s="301"/>
      <c r="E119" s="301"/>
      <c r="F119" s="301"/>
      <c r="G119" s="301"/>
      <c r="H119" s="301"/>
      <c r="I119" s="301"/>
      <c r="J119" s="301"/>
      <c r="K119" s="301"/>
      <c r="L119" s="301"/>
      <c r="M119" s="301"/>
      <c r="N119" s="301"/>
      <c r="O119" s="301"/>
      <c r="P119" s="301"/>
      <c r="Q119" s="301"/>
    </row>
    <row r="120" spans="1:17" ht="12.75">
      <c r="A120" s="301"/>
      <c r="B120" s="301"/>
      <c r="C120" s="301"/>
      <c r="D120" s="301"/>
      <c r="E120" s="301"/>
      <c r="F120" s="301"/>
      <c r="G120" s="301"/>
      <c r="H120" s="301"/>
      <c r="I120" s="301"/>
      <c r="J120" s="301"/>
      <c r="K120" s="301"/>
      <c r="L120" s="301"/>
      <c r="M120" s="301"/>
      <c r="N120" s="301"/>
      <c r="O120" s="301"/>
      <c r="P120" s="301"/>
      <c r="Q120" s="301"/>
    </row>
    <row r="121" spans="1:17" ht="12.75">
      <c r="A121" s="301"/>
      <c r="B121" s="301"/>
      <c r="C121" s="301"/>
      <c r="D121" s="301"/>
      <c r="E121" s="301"/>
      <c r="F121" s="301"/>
      <c r="G121" s="301"/>
      <c r="H121" s="301"/>
      <c r="I121" s="301"/>
      <c r="J121" s="301"/>
      <c r="K121" s="301"/>
      <c r="L121" s="301"/>
      <c r="M121" s="301"/>
      <c r="N121" s="301"/>
      <c r="O121" s="301"/>
      <c r="P121" s="301"/>
      <c r="Q121" s="301"/>
    </row>
    <row r="122" spans="1:17" ht="12.75">
      <c r="A122" s="301"/>
      <c r="B122" s="301"/>
      <c r="C122" s="301"/>
      <c r="D122" s="301"/>
      <c r="E122" s="301"/>
      <c r="F122" s="301"/>
      <c r="G122" s="301"/>
      <c r="H122" s="301"/>
      <c r="I122" s="301"/>
      <c r="J122" s="301"/>
      <c r="K122" s="301"/>
      <c r="L122" s="301"/>
      <c r="M122" s="301"/>
      <c r="N122" s="301"/>
      <c r="O122" s="301"/>
      <c r="P122" s="301"/>
      <c r="Q122" s="301"/>
    </row>
    <row r="123" spans="1:17" ht="12.75">
      <c r="A123" s="301"/>
      <c r="B123" s="301"/>
      <c r="C123" s="301"/>
      <c r="D123" s="301"/>
      <c r="E123" s="301"/>
      <c r="F123" s="301"/>
      <c r="G123" s="301"/>
      <c r="H123" s="301"/>
      <c r="I123" s="301"/>
      <c r="J123" s="301"/>
      <c r="K123" s="301"/>
      <c r="L123" s="301"/>
      <c r="M123" s="301"/>
      <c r="N123" s="301"/>
      <c r="O123" s="301"/>
      <c r="P123" s="301"/>
      <c r="Q123" s="301"/>
    </row>
    <row r="124" spans="1:17" ht="12.75">
      <c r="A124" s="301"/>
      <c r="B124" s="301"/>
      <c r="C124" s="301"/>
      <c r="D124" s="301"/>
      <c r="E124" s="301"/>
      <c r="F124" s="301"/>
      <c r="G124" s="301"/>
      <c r="H124" s="301"/>
      <c r="I124" s="301"/>
      <c r="J124" s="301"/>
      <c r="K124" s="301"/>
      <c r="L124" s="301"/>
      <c r="M124" s="301"/>
      <c r="N124" s="301"/>
      <c r="O124" s="301"/>
      <c r="P124" s="301"/>
      <c r="Q124" s="301"/>
    </row>
    <row r="125" spans="1:17" ht="12.75">
      <c r="A125" s="301"/>
      <c r="B125" s="301"/>
      <c r="C125" s="301"/>
      <c r="D125" s="301"/>
      <c r="E125" s="301"/>
      <c r="F125" s="301"/>
      <c r="G125" s="301"/>
      <c r="H125" s="301"/>
      <c r="I125" s="301"/>
      <c r="J125" s="301"/>
      <c r="K125" s="301"/>
      <c r="L125" s="301"/>
      <c r="M125" s="301"/>
      <c r="N125" s="301"/>
      <c r="O125" s="301"/>
      <c r="P125" s="301"/>
      <c r="Q125" s="301"/>
    </row>
    <row r="126" spans="1:17" ht="12.75">
      <c r="A126" s="301"/>
      <c r="B126" s="301"/>
      <c r="C126" s="301"/>
      <c r="D126" s="301"/>
      <c r="E126" s="301"/>
      <c r="F126" s="301"/>
      <c r="G126" s="301"/>
      <c r="H126" s="301"/>
      <c r="I126" s="301"/>
      <c r="J126" s="301"/>
      <c r="K126" s="301"/>
      <c r="L126" s="301"/>
      <c r="M126" s="301"/>
      <c r="N126" s="301"/>
      <c r="O126" s="301"/>
      <c r="P126" s="301"/>
      <c r="Q126" s="301"/>
    </row>
    <row r="127" spans="1:17" ht="12.75">
      <c r="A127" s="301"/>
      <c r="B127" s="301"/>
      <c r="C127" s="301"/>
      <c r="D127" s="301"/>
      <c r="E127" s="301"/>
      <c r="F127" s="301"/>
      <c r="G127" s="301"/>
      <c r="H127" s="301"/>
      <c r="I127" s="301"/>
      <c r="J127" s="301"/>
      <c r="K127" s="301"/>
      <c r="L127" s="301"/>
      <c r="M127" s="301"/>
      <c r="N127" s="301"/>
      <c r="O127" s="301"/>
      <c r="P127" s="301"/>
      <c r="Q127" s="301"/>
    </row>
    <row r="128" spans="1:17" ht="12.75">
      <c r="A128" s="301"/>
      <c r="B128" s="301"/>
      <c r="C128" s="301"/>
      <c r="D128" s="301"/>
      <c r="E128" s="301"/>
      <c r="F128" s="301"/>
      <c r="G128" s="301"/>
      <c r="H128" s="301"/>
      <c r="I128" s="301"/>
      <c r="J128" s="301"/>
      <c r="K128" s="301"/>
      <c r="L128" s="301"/>
      <c r="M128" s="301"/>
      <c r="N128" s="301"/>
      <c r="O128" s="301"/>
      <c r="P128" s="301"/>
      <c r="Q128" s="301"/>
    </row>
    <row r="129" spans="1:17" ht="12.75">
      <c r="A129" s="301"/>
      <c r="B129" s="301"/>
      <c r="C129" s="301"/>
      <c r="D129" s="301"/>
      <c r="E129" s="301"/>
      <c r="F129" s="301"/>
      <c r="G129" s="301"/>
      <c r="H129" s="301"/>
      <c r="I129" s="301"/>
      <c r="J129" s="301"/>
      <c r="K129" s="301"/>
      <c r="L129" s="301"/>
      <c r="M129" s="301"/>
      <c r="N129" s="301"/>
      <c r="O129" s="301"/>
      <c r="P129" s="301"/>
      <c r="Q129" s="301"/>
    </row>
    <row r="130" spans="1:17" ht="12.75">
      <c r="A130" s="301"/>
      <c r="B130" s="301"/>
      <c r="C130" s="301"/>
      <c r="D130" s="301"/>
      <c r="E130" s="301"/>
      <c r="F130" s="301"/>
      <c r="G130" s="301"/>
      <c r="H130" s="301"/>
      <c r="I130" s="301"/>
      <c r="J130" s="301"/>
      <c r="K130" s="301"/>
      <c r="L130" s="301"/>
      <c r="M130" s="301"/>
      <c r="N130" s="301"/>
      <c r="O130" s="301"/>
      <c r="P130" s="301"/>
      <c r="Q130" s="301"/>
    </row>
    <row r="131" spans="1:17" ht="12.75">
      <c r="A131" s="301"/>
      <c r="B131" s="301"/>
      <c r="C131" s="301"/>
      <c r="D131" s="301"/>
      <c r="E131" s="301"/>
      <c r="F131" s="301"/>
      <c r="G131" s="301"/>
      <c r="H131" s="301"/>
      <c r="I131" s="301"/>
      <c r="J131" s="301"/>
      <c r="K131" s="301"/>
      <c r="L131" s="301"/>
      <c r="M131" s="301"/>
      <c r="N131" s="301"/>
      <c r="O131" s="301"/>
      <c r="P131" s="301"/>
      <c r="Q131" s="301"/>
    </row>
    <row r="132" spans="1:17" ht="12.75">
      <c r="A132" s="301"/>
      <c r="B132" s="301"/>
      <c r="C132" s="301"/>
      <c r="D132" s="301"/>
      <c r="E132" s="301"/>
      <c r="F132" s="301"/>
      <c r="G132" s="301"/>
      <c r="H132" s="301"/>
      <c r="I132" s="301"/>
      <c r="J132" s="301"/>
      <c r="K132" s="301"/>
      <c r="L132" s="301"/>
      <c r="M132" s="301"/>
      <c r="N132" s="301"/>
      <c r="O132" s="301"/>
      <c r="P132" s="301"/>
      <c r="Q132" s="301"/>
    </row>
  </sheetData>
  <sheetProtection password="D387" sheet="1" objects="1" scenarios="1"/>
  <mergeCells count="2">
    <mergeCell ref="H5:J5"/>
    <mergeCell ref="C74:J74"/>
  </mergeCells>
  <printOptions/>
  <pageMargins left="0.75" right="0.75" top="1" bottom="1" header="0.5" footer="0.5"/>
  <pageSetup fitToHeight="1" fitToWidth="1" horizontalDpi="600" verticalDpi="600" orientation="portrait" scale="67" r:id="rId1"/>
  <headerFooter alignWithMargins="0">
    <oddHeader>&amp;CTotal Cost of Application Ownership (TCA) Calculator</oddHeader>
    <oddFooter>&amp;LThe Tolly Group TCA Calculator
&amp;P&amp;D&amp;T&amp;R© The Tolly Group, 1999</oddFooter>
  </headerFooter>
  <rowBreaks count="1" manualBreakCount="1">
    <brk id="48" min="1" max="9" man="1"/>
  </rowBreaks>
</worksheet>
</file>

<file path=xl/worksheets/sheet12.xml><?xml version="1.0" encoding="utf-8"?>
<worksheet xmlns="http://schemas.openxmlformats.org/spreadsheetml/2006/main" xmlns:r="http://schemas.openxmlformats.org/officeDocument/2006/relationships">
  <sheetPr codeName="Sheet152">
    <pageSetUpPr fitToPage="1"/>
  </sheetPr>
  <dimension ref="A1:P40"/>
  <sheetViews>
    <sheetView showRowColHeaders="0" workbookViewId="0" topLeftCell="A1">
      <selection activeCell="A1" sqref="A1"/>
    </sheetView>
  </sheetViews>
  <sheetFormatPr defaultColWidth="9.140625" defaultRowHeight="12.75"/>
  <cols>
    <col min="5" max="5" width="14.140625" style="0" customWidth="1"/>
    <col min="6" max="8" width="11.14062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13"/>
      <c r="J2" s="301"/>
      <c r="K2" s="301"/>
      <c r="L2" s="301"/>
      <c r="M2" s="301"/>
      <c r="N2" s="301"/>
      <c r="O2" s="301"/>
      <c r="P2" s="301"/>
    </row>
    <row r="3" spans="1:16" ht="12.75">
      <c r="A3" s="301"/>
      <c r="B3" s="4"/>
      <c r="C3" s="5"/>
      <c r="D3" s="5"/>
      <c r="E3" s="5"/>
      <c r="F3" s="364" t="s">
        <v>165</v>
      </c>
      <c r="G3" s="364"/>
      <c r="H3" s="364"/>
      <c r="I3" s="6"/>
      <c r="J3" s="301"/>
      <c r="K3" s="301"/>
      <c r="L3" s="301"/>
      <c r="M3" s="301"/>
      <c r="N3" s="301"/>
      <c r="O3" s="301"/>
      <c r="P3" s="301"/>
    </row>
    <row r="4" spans="1:16" ht="38.25">
      <c r="A4" s="301"/>
      <c r="B4" s="4"/>
      <c r="C4" s="30" t="s">
        <v>624</v>
      </c>
      <c r="D4" s="5"/>
      <c r="E4" s="5"/>
      <c r="F4" s="316" t="s">
        <v>534</v>
      </c>
      <c r="G4" s="316" t="s">
        <v>533</v>
      </c>
      <c r="H4" s="316" t="s">
        <v>535</v>
      </c>
      <c r="I4" s="6"/>
      <c r="J4" s="301"/>
      <c r="K4" s="301"/>
      <c r="L4" s="301"/>
      <c r="M4" s="301"/>
      <c r="N4" s="301"/>
      <c r="O4" s="301"/>
      <c r="P4" s="301"/>
    </row>
    <row r="5" spans="1:16" ht="12.75">
      <c r="A5" s="301"/>
      <c r="B5" s="4"/>
      <c r="C5" s="15" t="s">
        <v>595</v>
      </c>
      <c r="D5" s="5"/>
      <c r="E5" s="5"/>
      <c r="F5" s="294">
        <f>SUM('Hardware Procurement'!H7+'Calculation Sheet'!B4)*3.5</f>
        <v>21</v>
      </c>
      <c r="G5" s="295">
        <f>SUM('Thin Hardware Procurement'!G6+'Calculation Sheet'!B4)*3.5</f>
        <v>28</v>
      </c>
      <c r="H5" s="287">
        <f>SUM('Citrix Hardware Procurement'!G6+'Calculation Sheet'!B4)*3.5</f>
        <v>148.6153846153846</v>
      </c>
      <c r="I5" s="6"/>
      <c r="J5" s="301"/>
      <c r="K5" s="301"/>
      <c r="L5" s="301"/>
      <c r="M5" s="301"/>
      <c r="N5" s="301"/>
      <c r="O5" s="301"/>
      <c r="P5" s="301"/>
    </row>
    <row r="6" spans="1:16" ht="12.75">
      <c r="A6" s="301"/>
      <c r="B6" s="4"/>
      <c r="C6" s="15" t="s">
        <v>557</v>
      </c>
      <c r="D6" s="5"/>
      <c r="E6" s="5"/>
      <c r="F6" s="274">
        <v>40</v>
      </c>
      <c r="G6" s="276">
        <v>40</v>
      </c>
      <c r="H6" s="280">
        <v>40</v>
      </c>
      <c r="I6" s="6"/>
      <c r="J6" s="301"/>
      <c r="K6" s="301"/>
      <c r="L6" s="301"/>
      <c r="M6" s="301"/>
      <c r="N6" s="301"/>
      <c r="O6" s="301"/>
      <c r="P6" s="301"/>
    </row>
    <row r="7" spans="1:16" ht="12.75">
      <c r="A7" s="301"/>
      <c r="B7" s="4"/>
      <c r="C7" s="15" t="s">
        <v>558</v>
      </c>
      <c r="D7" s="5"/>
      <c r="E7" s="5"/>
      <c r="F7" s="274">
        <v>40</v>
      </c>
      <c r="G7" s="276">
        <v>40</v>
      </c>
      <c r="H7" s="280">
        <v>40</v>
      </c>
      <c r="I7" s="6"/>
      <c r="J7" s="301"/>
      <c r="K7" s="301"/>
      <c r="L7" s="301"/>
      <c r="M7" s="301"/>
      <c r="N7" s="301"/>
      <c r="O7" s="301"/>
      <c r="P7" s="301"/>
    </row>
    <row r="8" spans="1:16" ht="12.75">
      <c r="A8" s="301"/>
      <c r="B8" s="4"/>
      <c r="C8" s="5"/>
      <c r="D8" s="5"/>
      <c r="E8" s="5"/>
      <c r="F8" s="5"/>
      <c r="G8" s="5"/>
      <c r="H8" s="5"/>
      <c r="I8" s="6"/>
      <c r="J8" s="301"/>
      <c r="K8" s="301"/>
      <c r="L8" s="301"/>
      <c r="M8" s="301"/>
      <c r="N8" s="301"/>
      <c r="O8" s="301"/>
      <c r="P8" s="301"/>
    </row>
    <row r="9" spans="1:16" ht="12.75">
      <c r="A9" s="301"/>
      <c r="B9" s="4"/>
      <c r="C9" s="15" t="s">
        <v>625</v>
      </c>
      <c r="D9" s="5"/>
      <c r="E9" s="5"/>
      <c r="F9" s="5"/>
      <c r="G9" s="5"/>
      <c r="H9" s="5"/>
      <c r="I9" s="6"/>
      <c r="J9" s="301"/>
      <c r="K9" s="301"/>
      <c r="L9" s="301"/>
      <c r="M9" s="301"/>
      <c r="N9" s="301"/>
      <c r="O9" s="301"/>
      <c r="P9" s="301"/>
    </row>
    <row r="10" spans="1:16" ht="12.75">
      <c r="A10" s="301"/>
      <c r="B10" s="4"/>
      <c r="C10" s="5"/>
      <c r="D10" s="5" t="s">
        <v>133</v>
      </c>
      <c r="E10" s="5"/>
      <c r="F10" s="243">
        <v>1500</v>
      </c>
      <c r="G10" s="95"/>
      <c r="H10" s="95"/>
      <c r="I10" s="6"/>
      <c r="J10" s="301"/>
      <c r="K10" s="301"/>
      <c r="L10" s="301"/>
      <c r="M10" s="301"/>
      <c r="N10" s="301"/>
      <c r="O10" s="301"/>
      <c r="P10" s="301"/>
    </row>
    <row r="11" spans="1:16" ht="12.75">
      <c r="A11" s="301"/>
      <c r="B11" s="4"/>
      <c r="C11" s="5"/>
      <c r="D11" s="5" t="s">
        <v>134</v>
      </c>
      <c r="E11" s="5"/>
      <c r="F11" s="243">
        <v>3000</v>
      </c>
      <c r="G11" s="95"/>
      <c r="H11" s="95"/>
      <c r="I11" s="6"/>
      <c r="J11" s="301"/>
      <c r="K11" s="301"/>
      <c r="L11" s="301"/>
      <c r="M11" s="301"/>
      <c r="N11" s="301"/>
      <c r="O11" s="301"/>
      <c r="P11" s="301"/>
    </row>
    <row r="12" spans="1:16" ht="13.5" thickBot="1">
      <c r="A12" s="301"/>
      <c r="B12" s="7"/>
      <c r="C12" s="8"/>
      <c r="D12" s="8"/>
      <c r="E12" s="8"/>
      <c r="F12" s="8"/>
      <c r="G12" s="8"/>
      <c r="H12" s="8"/>
      <c r="I12" s="9"/>
      <c r="J12" s="301"/>
      <c r="K12" s="301"/>
      <c r="L12" s="301"/>
      <c r="M12" s="301"/>
      <c r="N12" s="301"/>
      <c r="O12" s="301"/>
      <c r="P12" s="301"/>
    </row>
    <row r="13" spans="1:16" ht="13.5" thickTop="1">
      <c r="A13" s="301"/>
      <c r="B13" s="301"/>
      <c r="C13" s="301"/>
      <c r="D13" s="301"/>
      <c r="E13" s="301"/>
      <c r="F13" s="301"/>
      <c r="G13" s="301"/>
      <c r="H13" s="301"/>
      <c r="I13" s="301"/>
      <c r="J13" s="301"/>
      <c r="K13" s="301"/>
      <c r="L13" s="301"/>
      <c r="M13" s="301"/>
      <c r="N13" s="301"/>
      <c r="O13" s="301"/>
      <c r="P13" s="301"/>
    </row>
    <row r="14" spans="1:16" ht="12.75">
      <c r="A14" s="301"/>
      <c r="B14" s="301"/>
      <c r="C14" s="301"/>
      <c r="D14" s="301"/>
      <c r="E14" s="301"/>
      <c r="F14" s="301"/>
      <c r="G14" s="301"/>
      <c r="H14" s="301"/>
      <c r="I14" s="301"/>
      <c r="J14" s="301"/>
      <c r="K14" s="301"/>
      <c r="L14" s="301"/>
      <c r="M14" s="301"/>
      <c r="N14" s="301"/>
      <c r="O14" s="301"/>
      <c r="P14" s="301"/>
    </row>
    <row r="15" spans="1:16" ht="12.75">
      <c r="A15" s="301"/>
      <c r="B15" s="301"/>
      <c r="C15" s="301"/>
      <c r="D15" s="301"/>
      <c r="E15" s="301"/>
      <c r="F15" s="301"/>
      <c r="G15" s="301"/>
      <c r="H15" s="301"/>
      <c r="I15" s="301"/>
      <c r="J15" s="301"/>
      <c r="K15" s="301"/>
      <c r="L15" s="301"/>
      <c r="M15" s="301"/>
      <c r="N15" s="301"/>
      <c r="O15" s="301"/>
      <c r="P15" s="301"/>
    </row>
    <row r="16" spans="1:16" ht="12.75">
      <c r="A16" s="301"/>
      <c r="B16" s="301"/>
      <c r="C16" s="301"/>
      <c r="D16" s="301"/>
      <c r="E16" s="301"/>
      <c r="F16" s="301"/>
      <c r="G16" s="301"/>
      <c r="H16" s="301"/>
      <c r="I16" s="301"/>
      <c r="J16" s="301"/>
      <c r="K16" s="301"/>
      <c r="L16" s="301"/>
      <c r="M16" s="301"/>
      <c r="N16" s="301"/>
      <c r="O16" s="301"/>
      <c r="P16" s="301"/>
    </row>
    <row r="17" spans="1:16" ht="12.75">
      <c r="A17" s="301"/>
      <c r="B17" s="301"/>
      <c r="C17" s="301"/>
      <c r="D17" s="301"/>
      <c r="E17" s="301"/>
      <c r="F17" s="301"/>
      <c r="G17" s="301"/>
      <c r="H17" s="301"/>
      <c r="I17" s="301"/>
      <c r="J17" s="301"/>
      <c r="K17" s="301"/>
      <c r="L17" s="301"/>
      <c r="M17" s="301"/>
      <c r="N17" s="301"/>
      <c r="O17" s="301"/>
      <c r="P17" s="301"/>
    </row>
    <row r="18" spans="1:16" ht="12.75">
      <c r="A18" s="301"/>
      <c r="B18" s="301"/>
      <c r="C18" s="301"/>
      <c r="D18" s="301"/>
      <c r="E18" s="301"/>
      <c r="F18" s="301"/>
      <c r="G18" s="301"/>
      <c r="H18" s="301"/>
      <c r="I18" s="301"/>
      <c r="J18" s="301"/>
      <c r="K18" s="301"/>
      <c r="L18" s="301"/>
      <c r="M18" s="301"/>
      <c r="N18" s="301"/>
      <c r="O18" s="301"/>
      <c r="P18" s="301"/>
    </row>
    <row r="19" spans="1:16" ht="12.75">
      <c r="A19" s="301"/>
      <c r="B19" s="301"/>
      <c r="C19" s="301"/>
      <c r="D19" s="301"/>
      <c r="E19" s="301"/>
      <c r="F19" s="301"/>
      <c r="G19" s="301"/>
      <c r="H19" s="301"/>
      <c r="I19" s="301"/>
      <c r="J19" s="301"/>
      <c r="K19" s="301"/>
      <c r="L19" s="301"/>
      <c r="M19" s="301"/>
      <c r="N19" s="301"/>
      <c r="O19" s="301"/>
      <c r="P19" s="301"/>
    </row>
    <row r="20" spans="1:16" ht="12.75">
      <c r="A20" s="301"/>
      <c r="B20" s="301"/>
      <c r="C20" s="301"/>
      <c r="D20" s="301"/>
      <c r="E20" s="301"/>
      <c r="F20" s="301"/>
      <c r="G20" s="301"/>
      <c r="H20" s="301"/>
      <c r="I20" s="301"/>
      <c r="J20" s="301"/>
      <c r="K20" s="301"/>
      <c r="L20" s="301"/>
      <c r="M20" s="301"/>
      <c r="N20" s="301"/>
      <c r="O20" s="301"/>
      <c r="P20" s="301"/>
    </row>
    <row r="21" spans="1:16" ht="12.75">
      <c r="A21" s="301"/>
      <c r="B21" s="301"/>
      <c r="C21" s="301"/>
      <c r="D21" s="301"/>
      <c r="E21" s="301"/>
      <c r="F21" s="301"/>
      <c r="G21" s="301"/>
      <c r="H21" s="301"/>
      <c r="I21" s="301"/>
      <c r="J21" s="301"/>
      <c r="K21" s="301"/>
      <c r="L21" s="301"/>
      <c r="M21" s="301"/>
      <c r="N21" s="301"/>
      <c r="O21" s="301"/>
      <c r="P21" s="301"/>
    </row>
    <row r="22" spans="1:16" ht="12.75">
      <c r="A22" s="301"/>
      <c r="B22" s="301"/>
      <c r="C22" s="301"/>
      <c r="D22" s="301"/>
      <c r="E22" s="301"/>
      <c r="F22" s="301"/>
      <c r="G22" s="301"/>
      <c r="H22" s="301"/>
      <c r="I22" s="301"/>
      <c r="J22" s="301"/>
      <c r="K22" s="301"/>
      <c r="L22" s="301"/>
      <c r="M22" s="301"/>
      <c r="N22" s="301"/>
      <c r="O22" s="301"/>
      <c r="P22" s="301"/>
    </row>
    <row r="23" spans="1:16" ht="12.75">
      <c r="A23" s="301"/>
      <c r="B23" s="301"/>
      <c r="C23" s="301"/>
      <c r="D23" s="301"/>
      <c r="E23" s="301"/>
      <c r="F23" s="301"/>
      <c r="G23" s="301"/>
      <c r="H23" s="301"/>
      <c r="I23" s="301"/>
      <c r="J23" s="301"/>
      <c r="K23" s="301"/>
      <c r="L23" s="301"/>
      <c r="M23" s="301"/>
      <c r="N23" s="301"/>
      <c r="O23" s="301"/>
      <c r="P23" s="301"/>
    </row>
    <row r="24" spans="1:16" ht="12.75">
      <c r="A24" s="301"/>
      <c r="B24" s="301"/>
      <c r="C24" s="301"/>
      <c r="D24" s="301"/>
      <c r="E24" s="301"/>
      <c r="F24" s="301"/>
      <c r="G24" s="301"/>
      <c r="H24" s="301"/>
      <c r="I24" s="301"/>
      <c r="J24" s="301"/>
      <c r="K24" s="301"/>
      <c r="L24" s="301"/>
      <c r="M24" s="301"/>
      <c r="N24" s="301"/>
      <c r="O24" s="301"/>
      <c r="P24" s="301"/>
    </row>
    <row r="25" spans="1:16" ht="12.75">
      <c r="A25" s="301"/>
      <c r="B25" s="301"/>
      <c r="C25" s="301"/>
      <c r="D25" s="301"/>
      <c r="E25" s="301"/>
      <c r="F25" s="301"/>
      <c r="G25" s="301"/>
      <c r="H25" s="301"/>
      <c r="I25" s="301"/>
      <c r="J25" s="301"/>
      <c r="K25" s="301"/>
      <c r="L25" s="301"/>
      <c r="M25" s="301"/>
      <c r="N25" s="301"/>
      <c r="O25" s="301"/>
      <c r="P25" s="301"/>
    </row>
    <row r="26" spans="1:16" ht="12.75">
      <c r="A26" s="301"/>
      <c r="B26" s="301"/>
      <c r="C26" s="301"/>
      <c r="D26" s="301"/>
      <c r="E26" s="301"/>
      <c r="F26" s="301"/>
      <c r="G26" s="301"/>
      <c r="H26" s="301"/>
      <c r="I26" s="301"/>
      <c r="J26" s="301"/>
      <c r="K26" s="301"/>
      <c r="L26" s="301"/>
      <c r="M26" s="301"/>
      <c r="N26" s="301"/>
      <c r="O26" s="301"/>
      <c r="P26" s="301"/>
    </row>
    <row r="27" spans="1:16" ht="12.75">
      <c r="A27" s="301"/>
      <c r="B27" s="301"/>
      <c r="C27" s="301"/>
      <c r="D27" s="301"/>
      <c r="E27" s="301"/>
      <c r="F27" s="301"/>
      <c r="G27" s="301"/>
      <c r="H27" s="301"/>
      <c r="I27" s="301"/>
      <c r="J27" s="301"/>
      <c r="K27" s="301"/>
      <c r="L27" s="301"/>
      <c r="M27" s="301"/>
      <c r="N27" s="301"/>
      <c r="O27" s="301"/>
      <c r="P27" s="301"/>
    </row>
    <row r="28" spans="1:16" ht="12.75">
      <c r="A28" s="301"/>
      <c r="B28" s="301"/>
      <c r="C28" s="301"/>
      <c r="D28" s="301"/>
      <c r="E28" s="301"/>
      <c r="F28" s="301"/>
      <c r="G28" s="301"/>
      <c r="H28" s="301"/>
      <c r="I28" s="301"/>
      <c r="J28" s="301"/>
      <c r="K28" s="301"/>
      <c r="L28" s="301"/>
      <c r="M28" s="301"/>
      <c r="N28" s="301"/>
      <c r="O28" s="301"/>
      <c r="P28" s="301"/>
    </row>
    <row r="29" spans="1:16" ht="12.75">
      <c r="A29" s="301"/>
      <c r="B29" s="301"/>
      <c r="C29" s="301"/>
      <c r="D29" s="301"/>
      <c r="E29" s="301"/>
      <c r="F29" s="301"/>
      <c r="G29" s="301"/>
      <c r="H29" s="301"/>
      <c r="I29" s="301"/>
      <c r="J29" s="301"/>
      <c r="K29" s="301"/>
      <c r="L29" s="301"/>
      <c r="M29" s="301"/>
      <c r="N29" s="301"/>
      <c r="O29" s="301"/>
      <c r="P29" s="301"/>
    </row>
    <row r="30" spans="1:16" ht="12.75">
      <c r="A30" s="301"/>
      <c r="B30" s="301"/>
      <c r="C30" s="301"/>
      <c r="D30" s="301"/>
      <c r="E30" s="301"/>
      <c r="F30" s="301"/>
      <c r="G30" s="301"/>
      <c r="H30" s="301"/>
      <c r="I30" s="301"/>
      <c r="J30" s="301"/>
      <c r="K30" s="301"/>
      <c r="L30" s="301"/>
      <c r="M30" s="301"/>
      <c r="N30" s="301"/>
      <c r="O30" s="301"/>
      <c r="P30" s="301"/>
    </row>
    <row r="31" spans="1:16" ht="12.75">
      <c r="A31" s="301"/>
      <c r="B31" s="301"/>
      <c r="C31" s="301"/>
      <c r="D31" s="301"/>
      <c r="E31" s="301"/>
      <c r="F31" s="301"/>
      <c r="G31" s="301"/>
      <c r="H31" s="301"/>
      <c r="I31" s="301"/>
      <c r="J31" s="301"/>
      <c r="K31" s="301"/>
      <c r="L31" s="301"/>
      <c r="M31" s="301"/>
      <c r="N31" s="301"/>
      <c r="O31" s="301"/>
      <c r="P31" s="301"/>
    </row>
    <row r="32" spans="1:16" ht="12.75">
      <c r="A32" s="301"/>
      <c r="B32" s="301"/>
      <c r="C32" s="301"/>
      <c r="D32" s="301"/>
      <c r="E32" s="301"/>
      <c r="F32" s="301"/>
      <c r="G32" s="301"/>
      <c r="H32" s="301"/>
      <c r="I32" s="301"/>
      <c r="J32" s="301"/>
      <c r="K32" s="301"/>
      <c r="L32" s="301"/>
      <c r="M32" s="301"/>
      <c r="N32" s="301"/>
      <c r="O32" s="301"/>
      <c r="P32" s="301"/>
    </row>
    <row r="33" spans="1:16" ht="12.75">
      <c r="A33" s="301"/>
      <c r="B33" s="301"/>
      <c r="C33" s="301"/>
      <c r="D33" s="301"/>
      <c r="E33" s="301"/>
      <c r="F33" s="301"/>
      <c r="G33" s="301"/>
      <c r="H33" s="301"/>
      <c r="I33" s="301"/>
      <c r="J33" s="301"/>
      <c r="K33" s="301"/>
      <c r="L33" s="301"/>
      <c r="M33" s="301"/>
      <c r="N33" s="301"/>
      <c r="O33" s="301"/>
      <c r="P33" s="301"/>
    </row>
    <row r="34" spans="1:16" ht="12.75">
      <c r="A34" s="301"/>
      <c r="B34" s="301"/>
      <c r="C34" s="301"/>
      <c r="D34" s="301"/>
      <c r="E34" s="301"/>
      <c r="F34" s="301"/>
      <c r="G34" s="301"/>
      <c r="H34" s="301"/>
      <c r="I34" s="301"/>
      <c r="J34" s="301"/>
      <c r="K34" s="301"/>
      <c r="L34" s="301"/>
      <c r="M34" s="301"/>
      <c r="N34" s="301"/>
      <c r="O34" s="301"/>
      <c r="P34" s="301"/>
    </row>
    <row r="35" spans="1:16" ht="12.75">
      <c r="A35" s="301"/>
      <c r="B35" s="301"/>
      <c r="C35" s="301"/>
      <c r="D35" s="301"/>
      <c r="E35" s="301"/>
      <c r="F35" s="301"/>
      <c r="G35" s="301"/>
      <c r="H35" s="301"/>
      <c r="I35" s="301"/>
      <c r="J35" s="301"/>
      <c r="K35" s="301"/>
      <c r="L35" s="301"/>
      <c r="M35" s="301"/>
      <c r="N35" s="301"/>
      <c r="O35" s="301"/>
      <c r="P35" s="301"/>
    </row>
    <row r="36" spans="1:16" ht="12.75">
      <c r="A36" s="301"/>
      <c r="B36" s="301"/>
      <c r="C36" s="301"/>
      <c r="D36" s="301"/>
      <c r="E36" s="301"/>
      <c r="F36" s="301"/>
      <c r="G36" s="301"/>
      <c r="H36" s="301"/>
      <c r="I36" s="301"/>
      <c r="J36" s="301"/>
      <c r="K36" s="301"/>
      <c r="L36" s="301"/>
      <c r="M36" s="301"/>
      <c r="N36" s="301"/>
      <c r="O36" s="301"/>
      <c r="P36" s="301"/>
    </row>
    <row r="37" spans="1:16" ht="12.75">
      <c r="A37" s="301"/>
      <c r="B37" s="301"/>
      <c r="C37" s="301"/>
      <c r="D37" s="301"/>
      <c r="E37" s="301"/>
      <c r="F37" s="301"/>
      <c r="G37" s="301"/>
      <c r="H37" s="301"/>
      <c r="I37" s="301"/>
      <c r="J37" s="301"/>
      <c r="K37" s="301"/>
      <c r="L37" s="301"/>
      <c r="M37" s="301"/>
      <c r="N37" s="301"/>
      <c r="O37" s="301"/>
      <c r="P37" s="301"/>
    </row>
    <row r="38" spans="1:16" ht="12.75">
      <c r="A38" s="301"/>
      <c r="B38" s="301"/>
      <c r="C38" s="301"/>
      <c r="D38" s="301"/>
      <c r="E38" s="301"/>
      <c r="F38" s="301"/>
      <c r="G38" s="301"/>
      <c r="H38" s="301"/>
      <c r="I38" s="301"/>
      <c r="J38" s="301"/>
      <c r="K38" s="301"/>
      <c r="L38" s="301"/>
      <c r="M38" s="301"/>
      <c r="N38" s="301"/>
      <c r="O38" s="301"/>
      <c r="P38" s="301"/>
    </row>
    <row r="39" spans="2:16" ht="12.75">
      <c r="B39" s="301"/>
      <c r="C39" s="301"/>
      <c r="D39" s="301"/>
      <c r="E39" s="301"/>
      <c r="F39" s="301"/>
      <c r="G39" s="301"/>
      <c r="H39" s="301"/>
      <c r="I39" s="301"/>
      <c r="J39" s="301"/>
      <c r="K39" s="301"/>
      <c r="L39" s="301"/>
      <c r="M39" s="301"/>
      <c r="N39" s="301"/>
      <c r="O39" s="301"/>
      <c r="P39" s="301"/>
    </row>
    <row r="40" spans="2:16" ht="12.75">
      <c r="B40" s="301"/>
      <c r="C40" s="301"/>
      <c r="D40" s="301"/>
      <c r="E40" s="301"/>
      <c r="F40" s="301"/>
      <c r="G40" s="301"/>
      <c r="H40" s="301"/>
      <c r="I40" s="301"/>
      <c r="J40" s="301"/>
      <c r="K40" s="301"/>
      <c r="L40" s="301"/>
      <c r="M40" s="301"/>
      <c r="N40" s="301"/>
      <c r="O40" s="301"/>
      <c r="P40" s="301"/>
    </row>
  </sheetData>
  <sheetProtection password="D387" sheet="1" objects="1" scenarios="1"/>
  <mergeCells count="1">
    <mergeCell ref="F3:H3"/>
  </mergeCells>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
&amp;P&amp;D&amp;T&amp;R© The Tolly Group, 1999</oddFooter>
  </headerFooter>
</worksheet>
</file>

<file path=xl/worksheets/sheet13.xml><?xml version="1.0" encoding="utf-8"?>
<worksheet xmlns="http://schemas.openxmlformats.org/spreadsheetml/2006/main" xmlns:r="http://schemas.openxmlformats.org/officeDocument/2006/relationships">
  <sheetPr codeName="Sheet172">
    <pageSetUpPr fitToPage="1"/>
  </sheetPr>
  <dimension ref="A1:P40"/>
  <sheetViews>
    <sheetView showRowColHeaders="0" workbookViewId="0" topLeftCell="A1">
      <selection activeCell="A1" sqref="A1"/>
    </sheetView>
  </sheetViews>
  <sheetFormatPr defaultColWidth="9.140625" defaultRowHeight="12.75"/>
  <cols>
    <col min="4" max="4" width="10.57421875" style="0" customWidth="1"/>
    <col min="5" max="5" width="10.140625" style="0" customWidth="1"/>
    <col min="6" max="8" width="10.7109375" style="0" customWidth="1"/>
    <col min="9" max="9" width="11.42187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13"/>
      <c r="J2" s="301"/>
      <c r="K2" s="301"/>
      <c r="L2" s="301"/>
      <c r="M2" s="301"/>
      <c r="N2" s="301"/>
      <c r="O2" s="301"/>
      <c r="P2" s="301"/>
    </row>
    <row r="3" spans="1:16" ht="12.75">
      <c r="A3" s="301"/>
      <c r="B3" s="4"/>
      <c r="C3" s="5"/>
      <c r="D3" s="5"/>
      <c r="E3" s="5"/>
      <c r="F3" s="5"/>
      <c r="G3" s="5"/>
      <c r="H3" s="5"/>
      <c r="I3" s="6"/>
      <c r="J3" s="301"/>
      <c r="K3" s="301"/>
      <c r="L3" s="301"/>
      <c r="M3" s="301"/>
      <c r="N3" s="301"/>
      <c r="O3" s="301"/>
      <c r="P3" s="301"/>
    </row>
    <row r="4" spans="1:16" ht="15.75">
      <c r="A4" s="301"/>
      <c r="B4" s="4"/>
      <c r="C4" s="30" t="s">
        <v>559</v>
      </c>
      <c r="D4" s="5"/>
      <c r="E4" s="5"/>
      <c r="F4" s="5"/>
      <c r="G4" s="5"/>
      <c r="H4" s="5"/>
      <c r="I4" s="6"/>
      <c r="J4" s="301"/>
      <c r="K4" s="301"/>
      <c r="L4" s="301"/>
      <c r="M4" s="301"/>
      <c r="N4" s="301"/>
      <c r="O4" s="301"/>
      <c r="P4" s="301"/>
    </row>
    <row r="5" spans="1:16" ht="12.75" customHeight="1">
      <c r="A5" s="301"/>
      <c r="B5" s="4"/>
      <c r="C5" s="30"/>
      <c r="D5" s="5"/>
      <c r="E5" s="5"/>
      <c r="F5" s="5"/>
      <c r="G5" s="5"/>
      <c r="H5" s="5"/>
      <c r="I5" s="6"/>
      <c r="J5" s="301"/>
      <c r="K5" s="301"/>
      <c r="L5" s="301"/>
      <c r="M5" s="301"/>
      <c r="N5" s="301"/>
      <c r="O5" s="301"/>
      <c r="P5" s="301"/>
    </row>
    <row r="6" spans="1:16" ht="12.75" customHeight="1">
      <c r="A6" s="301"/>
      <c r="B6" s="4"/>
      <c r="C6" s="15" t="s">
        <v>596</v>
      </c>
      <c r="D6" s="5"/>
      <c r="E6" s="5"/>
      <c r="F6" s="5"/>
      <c r="G6" s="5"/>
      <c r="H6" s="5"/>
      <c r="I6" s="6"/>
      <c r="J6" s="301"/>
      <c r="K6" s="301"/>
      <c r="L6" s="301"/>
      <c r="M6" s="301"/>
      <c r="N6" s="301"/>
      <c r="O6" s="301"/>
      <c r="P6" s="301"/>
    </row>
    <row r="7" spans="1:16" ht="42" customHeight="1">
      <c r="A7" s="301"/>
      <c r="B7" s="4"/>
      <c r="C7" s="15"/>
      <c r="D7" s="5"/>
      <c r="E7" s="5"/>
      <c r="F7" s="272" t="s">
        <v>534</v>
      </c>
      <c r="G7" s="277" t="s">
        <v>533</v>
      </c>
      <c r="H7" s="278" t="s">
        <v>535</v>
      </c>
      <c r="I7" s="6"/>
      <c r="J7" s="301"/>
      <c r="K7" s="301"/>
      <c r="L7" s="301"/>
      <c r="M7" s="301"/>
      <c r="N7" s="301"/>
      <c r="O7" s="301"/>
      <c r="P7" s="301"/>
    </row>
    <row r="8" spans="1:16" ht="12.75" customHeight="1">
      <c r="A8" s="301"/>
      <c r="B8" s="4"/>
      <c r="C8" s="5"/>
      <c r="D8" s="5" t="s">
        <v>45</v>
      </c>
      <c r="E8" s="5"/>
      <c r="F8" s="296">
        <v>0.05</v>
      </c>
      <c r="G8" s="297">
        <v>0.02</v>
      </c>
      <c r="H8" s="298">
        <v>0.01</v>
      </c>
      <c r="I8" s="6"/>
      <c r="J8" s="301"/>
      <c r="K8" s="301"/>
      <c r="L8" s="301"/>
      <c r="M8" s="301"/>
      <c r="N8" s="301"/>
      <c r="O8" s="301"/>
      <c r="P8" s="301"/>
    </row>
    <row r="9" spans="1:16" ht="12.75" customHeight="1">
      <c r="A9" s="301"/>
      <c r="B9" s="4"/>
      <c r="C9" s="5"/>
      <c r="D9" s="5" t="s">
        <v>46</v>
      </c>
      <c r="E9" s="5"/>
      <c r="F9" s="296">
        <v>0</v>
      </c>
      <c r="G9" s="297">
        <v>0.005</v>
      </c>
      <c r="H9" s="298">
        <v>0.005</v>
      </c>
      <c r="I9" s="6"/>
      <c r="J9" s="301"/>
      <c r="K9" s="301"/>
      <c r="L9" s="301"/>
      <c r="M9" s="301"/>
      <c r="N9" s="301"/>
      <c r="O9" s="301"/>
      <c r="P9" s="301"/>
    </row>
    <row r="10" spans="1:16" ht="12.75" customHeight="1">
      <c r="A10" s="301"/>
      <c r="B10" s="4"/>
      <c r="C10" s="5"/>
      <c r="D10" s="5" t="s">
        <v>12</v>
      </c>
      <c r="E10" s="5"/>
      <c r="F10" s="296">
        <v>0</v>
      </c>
      <c r="G10" s="297">
        <v>0.0001</v>
      </c>
      <c r="H10" s="298">
        <v>0.0001</v>
      </c>
      <c r="I10" s="6"/>
      <c r="J10" s="301"/>
      <c r="K10" s="301"/>
      <c r="L10" s="301"/>
      <c r="M10" s="301"/>
      <c r="N10" s="301"/>
      <c r="O10" s="301"/>
      <c r="P10" s="301"/>
    </row>
    <row r="11" spans="1:16" ht="12.75" customHeight="1">
      <c r="A11" s="301"/>
      <c r="B11" s="4"/>
      <c r="C11" s="5"/>
      <c r="D11" s="5"/>
      <c r="E11" s="5"/>
      <c r="F11" s="5"/>
      <c r="G11" s="5"/>
      <c r="H11" s="5"/>
      <c r="I11" s="6"/>
      <c r="J11" s="301"/>
      <c r="K11" s="301"/>
      <c r="L11" s="301"/>
      <c r="M11" s="301"/>
      <c r="N11" s="301"/>
      <c r="O11" s="301"/>
      <c r="P11" s="301"/>
    </row>
    <row r="12" spans="1:16" ht="13.5" thickBot="1">
      <c r="A12" s="301"/>
      <c r="B12" s="7"/>
      <c r="C12" s="8"/>
      <c r="D12" s="8"/>
      <c r="E12" s="8"/>
      <c r="F12" s="8"/>
      <c r="G12" s="8"/>
      <c r="H12" s="8"/>
      <c r="I12" s="9"/>
      <c r="J12" s="301"/>
      <c r="K12" s="301"/>
      <c r="L12" s="301"/>
      <c r="M12" s="301"/>
      <c r="N12" s="301"/>
      <c r="O12" s="301"/>
      <c r="P12" s="301"/>
    </row>
    <row r="13" spans="1:16" ht="13.5" thickTop="1">
      <c r="A13" s="301"/>
      <c r="B13" s="301"/>
      <c r="C13" s="301"/>
      <c r="D13" s="301"/>
      <c r="E13" s="301"/>
      <c r="F13" s="301"/>
      <c r="G13" s="301"/>
      <c r="H13" s="301"/>
      <c r="I13" s="301"/>
      <c r="J13" s="301"/>
      <c r="K13" s="301"/>
      <c r="L13" s="301"/>
      <c r="M13" s="301"/>
      <c r="N13" s="301"/>
      <c r="O13" s="301"/>
      <c r="P13" s="301"/>
    </row>
    <row r="14" spans="1:16" ht="12.75">
      <c r="A14" s="301"/>
      <c r="B14" s="301"/>
      <c r="C14" s="301"/>
      <c r="D14" s="301"/>
      <c r="E14" s="301"/>
      <c r="F14" s="301"/>
      <c r="G14" s="301"/>
      <c r="H14" s="301"/>
      <c r="I14" s="301"/>
      <c r="J14" s="301"/>
      <c r="K14" s="301"/>
      <c r="L14" s="301"/>
      <c r="M14" s="301"/>
      <c r="N14" s="301"/>
      <c r="O14" s="301"/>
      <c r="P14" s="301"/>
    </row>
    <row r="15" spans="1:16" ht="12.75">
      <c r="A15" s="301"/>
      <c r="B15" s="301"/>
      <c r="C15" s="301"/>
      <c r="D15" s="301"/>
      <c r="E15" s="301"/>
      <c r="F15" s="301"/>
      <c r="G15" s="301"/>
      <c r="H15" s="301"/>
      <c r="I15" s="301"/>
      <c r="J15" s="301"/>
      <c r="K15" s="301"/>
      <c r="L15" s="301"/>
      <c r="M15" s="301"/>
      <c r="N15" s="301"/>
      <c r="O15" s="301"/>
      <c r="P15" s="301"/>
    </row>
    <row r="16" spans="1:16" ht="12.75">
      <c r="A16" s="301"/>
      <c r="B16" s="301"/>
      <c r="C16" s="301"/>
      <c r="D16" s="301"/>
      <c r="E16" s="301"/>
      <c r="F16" s="301"/>
      <c r="G16" s="301"/>
      <c r="H16" s="301"/>
      <c r="I16" s="301"/>
      <c r="J16" s="301"/>
      <c r="K16" s="301"/>
      <c r="L16" s="301"/>
      <c r="M16" s="301"/>
      <c r="N16" s="301"/>
      <c r="O16" s="301"/>
      <c r="P16" s="301"/>
    </row>
    <row r="17" spans="1:16" ht="12.75">
      <c r="A17" s="301"/>
      <c r="B17" s="301"/>
      <c r="C17" s="301"/>
      <c r="D17" s="301"/>
      <c r="E17" s="301"/>
      <c r="F17" s="301"/>
      <c r="G17" s="301"/>
      <c r="H17" s="301"/>
      <c r="I17" s="301"/>
      <c r="J17" s="301"/>
      <c r="K17" s="301"/>
      <c r="L17" s="301"/>
      <c r="M17" s="301"/>
      <c r="N17" s="301"/>
      <c r="O17" s="301"/>
      <c r="P17" s="301"/>
    </row>
    <row r="18" spans="1:16" ht="12.75">
      <c r="A18" s="301"/>
      <c r="B18" s="301"/>
      <c r="C18" s="301"/>
      <c r="D18" s="301"/>
      <c r="E18" s="301"/>
      <c r="F18" s="301"/>
      <c r="G18" s="301"/>
      <c r="H18" s="301"/>
      <c r="I18" s="301"/>
      <c r="J18" s="301"/>
      <c r="K18" s="301"/>
      <c r="L18" s="301"/>
      <c r="M18" s="301"/>
      <c r="N18" s="301"/>
      <c r="O18" s="301"/>
      <c r="P18" s="301"/>
    </row>
    <row r="19" spans="1:16" ht="12.75">
      <c r="A19" s="301"/>
      <c r="B19" s="301"/>
      <c r="C19" s="301"/>
      <c r="D19" s="301"/>
      <c r="E19" s="301"/>
      <c r="F19" s="301"/>
      <c r="G19" s="301"/>
      <c r="H19" s="301"/>
      <c r="I19" s="301"/>
      <c r="J19" s="301"/>
      <c r="K19" s="301"/>
      <c r="L19" s="301"/>
      <c r="M19" s="301"/>
      <c r="N19" s="301"/>
      <c r="O19" s="301"/>
      <c r="P19" s="301"/>
    </row>
    <row r="20" spans="1:16" ht="12.75">
      <c r="A20" s="301"/>
      <c r="B20" s="301"/>
      <c r="C20" s="301"/>
      <c r="D20" s="301"/>
      <c r="E20" s="301"/>
      <c r="F20" s="301"/>
      <c r="G20" s="301"/>
      <c r="H20" s="301"/>
      <c r="I20" s="301"/>
      <c r="J20" s="301"/>
      <c r="K20" s="301"/>
      <c r="L20" s="301"/>
      <c r="M20" s="301"/>
      <c r="N20" s="301"/>
      <c r="O20" s="301"/>
      <c r="P20" s="301"/>
    </row>
    <row r="21" spans="1:16" ht="12.75">
      <c r="A21" s="301"/>
      <c r="B21" s="301"/>
      <c r="C21" s="301"/>
      <c r="D21" s="301"/>
      <c r="E21" s="301"/>
      <c r="F21" s="301"/>
      <c r="G21" s="301"/>
      <c r="H21" s="301"/>
      <c r="I21" s="301"/>
      <c r="J21" s="301"/>
      <c r="K21" s="301"/>
      <c r="L21" s="301"/>
      <c r="M21" s="301"/>
      <c r="N21" s="301"/>
      <c r="O21" s="301"/>
      <c r="P21" s="301"/>
    </row>
    <row r="22" spans="1:16" ht="12.75">
      <c r="A22" s="301"/>
      <c r="B22" s="301"/>
      <c r="C22" s="301"/>
      <c r="D22" s="301"/>
      <c r="E22" s="301"/>
      <c r="F22" s="301"/>
      <c r="G22" s="301"/>
      <c r="H22" s="301"/>
      <c r="I22" s="301"/>
      <c r="J22" s="301"/>
      <c r="K22" s="301"/>
      <c r="L22" s="301"/>
      <c r="M22" s="301"/>
      <c r="N22" s="301"/>
      <c r="O22" s="301"/>
      <c r="P22" s="301"/>
    </row>
    <row r="23" spans="1:16" ht="12.75">
      <c r="A23" s="301"/>
      <c r="B23" s="301"/>
      <c r="C23" s="301"/>
      <c r="D23" s="301"/>
      <c r="E23" s="301"/>
      <c r="F23" s="301"/>
      <c r="G23" s="301"/>
      <c r="H23" s="301"/>
      <c r="I23" s="301"/>
      <c r="J23" s="301"/>
      <c r="K23" s="301"/>
      <c r="L23" s="301"/>
      <c r="M23" s="301"/>
      <c r="N23" s="301"/>
      <c r="O23" s="301"/>
      <c r="P23" s="301"/>
    </row>
    <row r="24" spans="1:16" ht="12.75">
      <c r="A24" s="301"/>
      <c r="B24" s="301"/>
      <c r="C24" s="301"/>
      <c r="D24" s="301"/>
      <c r="E24" s="301"/>
      <c r="F24" s="301"/>
      <c r="G24" s="301"/>
      <c r="H24" s="301"/>
      <c r="I24" s="301"/>
      <c r="J24" s="301"/>
      <c r="K24" s="301"/>
      <c r="L24" s="301"/>
      <c r="M24" s="301"/>
      <c r="N24" s="301"/>
      <c r="O24" s="301"/>
      <c r="P24" s="301"/>
    </row>
    <row r="25" spans="1:16" ht="12.75">
      <c r="A25" s="301"/>
      <c r="B25" s="301"/>
      <c r="C25" s="301"/>
      <c r="D25" s="301"/>
      <c r="E25" s="301"/>
      <c r="F25" s="301"/>
      <c r="G25" s="301"/>
      <c r="H25" s="301"/>
      <c r="I25" s="301"/>
      <c r="J25" s="301"/>
      <c r="K25" s="301"/>
      <c r="L25" s="301"/>
      <c r="M25" s="301"/>
      <c r="N25" s="301"/>
      <c r="O25" s="301"/>
      <c r="P25" s="301"/>
    </row>
    <row r="26" spans="1:16" ht="12.75">
      <c r="A26" s="301"/>
      <c r="B26" s="301"/>
      <c r="C26" s="301"/>
      <c r="D26" s="301"/>
      <c r="E26" s="301"/>
      <c r="F26" s="301"/>
      <c r="G26" s="301"/>
      <c r="H26" s="301"/>
      <c r="I26" s="301"/>
      <c r="J26" s="301"/>
      <c r="K26" s="301"/>
      <c r="L26" s="301"/>
      <c r="M26" s="301"/>
      <c r="N26" s="301"/>
      <c r="O26" s="301"/>
      <c r="P26" s="301"/>
    </row>
    <row r="27" spans="1:16" ht="12.75">
      <c r="A27" s="301"/>
      <c r="B27" s="301"/>
      <c r="C27" s="301"/>
      <c r="D27" s="301"/>
      <c r="E27" s="301"/>
      <c r="F27" s="301"/>
      <c r="G27" s="301"/>
      <c r="H27" s="301"/>
      <c r="I27" s="301"/>
      <c r="J27" s="301"/>
      <c r="K27" s="301"/>
      <c r="L27" s="301"/>
      <c r="M27" s="301"/>
      <c r="N27" s="301"/>
      <c r="O27" s="301"/>
      <c r="P27" s="301"/>
    </row>
    <row r="28" spans="1:16" ht="12.75">
      <c r="A28" s="301"/>
      <c r="B28" s="301"/>
      <c r="C28" s="301"/>
      <c r="D28" s="301"/>
      <c r="E28" s="301"/>
      <c r="F28" s="301"/>
      <c r="G28" s="301"/>
      <c r="H28" s="301"/>
      <c r="I28" s="301"/>
      <c r="J28" s="301"/>
      <c r="K28" s="301"/>
      <c r="L28" s="301"/>
      <c r="M28" s="301"/>
      <c r="N28" s="301"/>
      <c r="O28" s="301"/>
      <c r="P28" s="301"/>
    </row>
    <row r="29" spans="1:16" ht="12.75">
      <c r="A29" s="301"/>
      <c r="B29" s="301"/>
      <c r="C29" s="301"/>
      <c r="D29" s="301"/>
      <c r="E29" s="301"/>
      <c r="F29" s="301"/>
      <c r="G29" s="301"/>
      <c r="H29" s="301"/>
      <c r="I29" s="301"/>
      <c r="J29" s="301"/>
      <c r="K29" s="301"/>
      <c r="L29" s="301"/>
      <c r="M29" s="301"/>
      <c r="N29" s="301"/>
      <c r="O29" s="301"/>
      <c r="P29" s="301"/>
    </row>
    <row r="30" spans="1:16" ht="12.75">
      <c r="A30" s="301"/>
      <c r="B30" s="301"/>
      <c r="C30" s="301"/>
      <c r="D30" s="301"/>
      <c r="E30" s="301"/>
      <c r="F30" s="301"/>
      <c r="G30" s="301"/>
      <c r="H30" s="301"/>
      <c r="I30" s="301"/>
      <c r="J30" s="301"/>
      <c r="K30" s="301"/>
      <c r="L30" s="301"/>
      <c r="M30" s="301"/>
      <c r="N30" s="301"/>
      <c r="O30" s="301"/>
      <c r="P30" s="301"/>
    </row>
    <row r="31" spans="1:16" ht="12.75">
      <c r="A31" s="301"/>
      <c r="B31" s="301"/>
      <c r="C31" s="301"/>
      <c r="D31" s="301"/>
      <c r="E31" s="301"/>
      <c r="F31" s="301"/>
      <c r="G31" s="301"/>
      <c r="H31" s="301"/>
      <c r="I31" s="301"/>
      <c r="J31" s="301"/>
      <c r="K31" s="301"/>
      <c r="L31" s="301"/>
      <c r="M31" s="301"/>
      <c r="N31" s="301"/>
      <c r="O31" s="301"/>
      <c r="P31" s="301"/>
    </row>
    <row r="32" spans="1:16" ht="12.75">
      <c r="A32" s="301"/>
      <c r="B32" s="301"/>
      <c r="C32" s="301"/>
      <c r="D32" s="301"/>
      <c r="E32" s="301"/>
      <c r="F32" s="301"/>
      <c r="G32" s="301"/>
      <c r="H32" s="301"/>
      <c r="I32" s="301"/>
      <c r="J32" s="301"/>
      <c r="K32" s="301"/>
      <c r="L32" s="301"/>
      <c r="M32" s="301"/>
      <c r="N32" s="301"/>
      <c r="O32" s="301"/>
      <c r="P32" s="301"/>
    </row>
    <row r="33" spans="1:16" ht="12.75">
      <c r="A33" s="301"/>
      <c r="B33" s="301"/>
      <c r="C33" s="301"/>
      <c r="D33" s="301"/>
      <c r="E33" s="301"/>
      <c r="F33" s="301"/>
      <c r="G33" s="301"/>
      <c r="H33" s="301"/>
      <c r="I33" s="301"/>
      <c r="J33" s="301"/>
      <c r="K33" s="301"/>
      <c r="L33" s="301"/>
      <c r="M33" s="301"/>
      <c r="N33" s="301"/>
      <c r="O33" s="301"/>
      <c r="P33" s="301"/>
    </row>
    <row r="34" spans="1:16" ht="12.75">
      <c r="A34" s="301"/>
      <c r="B34" s="301"/>
      <c r="C34" s="301"/>
      <c r="D34" s="301"/>
      <c r="E34" s="301"/>
      <c r="F34" s="301"/>
      <c r="G34" s="301"/>
      <c r="H34" s="301"/>
      <c r="I34" s="301"/>
      <c r="J34" s="301"/>
      <c r="K34" s="301"/>
      <c r="L34" s="301"/>
      <c r="M34" s="301"/>
      <c r="N34" s="301"/>
      <c r="O34" s="301"/>
      <c r="P34" s="301"/>
    </row>
    <row r="35" spans="1:16" ht="12.75">
      <c r="A35" s="301"/>
      <c r="B35" s="301"/>
      <c r="C35" s="301"/>
      <c r="D35" s="301"/>
      <c r="E35" s="301"/>
      <c r="F35" s="301"/>
      <c r="G35" s="301"/>
      <c r="H35" s="301"/>
      <c r="I35" s="301"/>
      <c r="J35" s="301"/>
      <c r="K35" s="301"/>
      <c r="L35" s="301"/>
      <c r="M35" s="301"/>
      <c r="N35" s="301"/>
      <c r="O35" s="301"/>
      <c r="P35" s="301"/>
    </row>
    <row r="36" spans="1:16" ht="12.75">
      <c r="A36" s="301"/>
      <c r="B36" s="301"/>
      <c r="C36" s="301"/>
      <c r="D36" s="301"/>
      <c r="E36" s="301"/>
      <c r="F36" s="301"/>
      <c r="G36" s="301"/>
      <c r="H36" s="301"/>
      <c r="I36" s="301"/>
      <c r="J36" s="301"/>
      <c r="K36" s="301"/>
      <c r="L36" s="301"/>
      <c r="M36" s="301"/>
      <c r="N36" s="301"/>
      <c r="O36" s="301"/>
      <c r="P36" s="301"/>
    </row>
    <row r="37" spans="1:16" ht="12.75">
      <c r="A37" s="301"/>
      <c r="B37" s="301"/>
      <c r="C37" s="301"/>
      <c r="D37" s="301"/>
      <c r="E37" s="301"/>
      <c r="F37" s="301"/>
      <c r="G37" s="301"/>
      <c r="H37" s="301"/>
      <c r="I37" s="301"/>
      <c r="J37" s="301"/>
      <c r="K37" s="301"/>
      <c r="L37" s="301"/>
      <c r="M37" s="301"/>
      <c r="N37" s="301"/>
      <c r="O37" s="301"/>
      <c r="P37" s="301"/>
    </row>
    <row r="38" spans="1:16" ht="12.75">
      <c r="A38" s="301"/>
      <c r="B38" s="301"/>
      <c r="C38" s="301"/>
      <c r="D38" s="301"/>
      <c r="E38" s="301"/>
      <c r="F38" s="301"/>
      <c r="G38" s="301"/>
      <c r="H38" s="301"/>
      <c r="I38" s="301"/>
      <c r="J38" s="301"/>
      <c r="K38" s="301"/>
      <c r="L38" s="301"/>
      <c r="M38" s="301"/>
      <c r="N38" s="301"/>
      <c r="O38" s="301"/>
      <c r="P38" s="301"/>
    </row>
    <row r="39" spans="1:16" ht="12.75">
      <c r="A39" s="301"/>
      <c r="B39" s="301"/>
      <c r="C39" s="301"/>
      <c r="D39" s="301"/>
      <c r="E39" s="301"/>
      <c r="F39" s="301"/>
      <c r="G39" s="301"/>
      <c r="H39" s="301"/>
      <c r="I39" s="301"/>
      <c r="J39" s="301"/>
      <c r="K39" s="301"/>
      <c r="L39" s="301"/>
      <c r="M39" s="301"/>
      <c r="N39" s="301"/>
      <c r="O39" s="301"/>
      <c r="P39" s="301"/>
    </row>
    <row r="40" spans="1:16" ht="12.75">
      <c r="A40" s="301"/>
      <c r="B40" s="301"/>
      <c r="C40" s="301"/>
      <c r="D40" s="301"/>
      <c r="E40" s="301"/>
      <c r="F40" s="301"/>
      <c r="G40" s="301"/>
      <c r="H40" s="301"/>
      <c r="I40" s="301"/>
      <c r="J40" s="301"/>
      <c r="K40" s="301"/>
      <c r="L40" s="301"/>
      <c r="M40" s="301"/>
      <c r="N40" s="301"/>
      <c r="O40" s="301"/>
      <c r="P40" s="301"/>
    </row>
  </sheetData>
  <sheetProtection password="D387" sheet="1" objects="1" scenarios="1"/>
  <printOptions/>
  <pageMargins left="0.75" right="0.75" top="1" bottom="1" header="0.5" footer="0.5"/>
  <pageSetup fitToHeight="1" fitToWidth="1" horizontalDpi="600" verticalDpi="600" orientation="portrait" scale="90" r:id="rId1"/>
  <headerFooter alignWithMargins="0">
    <oddHeader>&amp;CTotal Cost of Application Ownership (TCA) Calculator</oddHeader>
    <oddFooter>&amp;LThe Tolly Group TCA Calculator
&amp;P&amp;D&amp;T&amp;R© The Tolly Group, 1999</oddFooter>
  </headerFooter>
</worksheet>
</file>

<file path=xl/worksheets/sheet14.xml><?xml version="1.0" encoding="utf-8"?>
<worksheet xmlns="http://schemas.openxmlformats.org/spreadsheetml/2006/main" xmlns:r="http://schemas.openxmlformats.org/officeDocument/2006/relationships">
  <sheetPr codeName="Sheet1">
    <pageSetUpPr fitToPage="1"/>
  </sheetPr>
  <dimension ref="A1:X260"/>
  <sheetViews>
    <sheetView showRowColHeaders="0" workbookViewId="0" topLeftCell="A1">
      <selection activeCell="A1" sqref="A1"/>
    </sheetView>
  </sheetViews>
  <sheetFormatPr defaultColWidth="9.140625" defaultRowHeight="12.75"/>
  <cols>
    <col min="2" max="2" width="35.28125" style="0" customWidth="1"/>
    <col min="3" max="5" width="20.7109375" style="0" customWidth="1"/>
    <col min="6" max="6" width="11.28125" style="0" bestFit="1" customWidth="1"/>
  </cols>
  <sheetData>
    <row r="1" spans="1:24" ht="12.75">
      <c r="A1" s="301"/>
      <c r="B1" s="301"/>
      <c r="C1" s="301"/>
      <c r="D1" s="301"/>
      <c r="E1" s="301"/>
      <c r="F1" s="301"/>
      <c r="G1" s="301"/>
      <c r="H1" s="301"/>
      <c r="I1" s="301"/>
      <c r="J1" s="301"/>
      <c r="K1" s="301"/>
      <c r="L1" s="301"/>
      <c r="M1" s="301"/>
      <c r="N1" s="301"/>
      <c r="O1" s="301"/>
      <c r="P1" s="301"/>
      <c r="Q1" s="301"/>
      <c r="R1" s="301"/>
      <c r="S1" s="301"/>
      <c r="T1" s="301"/>
      <c r="U1" s="301"/>
      <c r="V1" s="301"/>
      <c r="W1" s="301"/>
      <c r="X1" s="301"/>
    </row>
    <row r="2" spans="1:24" ht="12.75">
      <c r="A2" s="301"/>
      <c r="B2" s="193" t="s">
        <v>521</v>
      </c>
      <c r="C2" s="365" t="s">
        <v>531</v>
      </c>
      <c r="D2" s="366"/>
      <c r="E2" s="367"/>
      <c r="F2" s="301"/>
      <c r="G2" s="301"/>
      <c r="H2" s="301"/>
      <c r="I2" s="301"/>
      <c r="J2" s="301"/>
      <c r="K2" s="301"/>
      <c r="L2" s="301"/>
      <c r="M2" s="301"/>
      <c r="N2" s="301"/>
      <c r="O2" s="301"/>
      <c r="P2" s="301"/>
      <c r="Q2" s="301"/>
      <c r="R2" s="301"/>
      <c r="S2" s="301"/>
      <c r="T2" s="301"/>
      <c r="U2" s="301"/>
      <c r="V2" s="301"/>
      <c r="W2" s="301"/>
      <c r="X2" s="301"/>
    </row>
    <row r="3" spans="1:24" ht="51.75" customHeight="1">
      <c r="A3" s="301"/>
      <c r="B3" s="194"/>
      <c r="C3" s="199" t="s">
        <v>526</v>
      </c>
      <c r="D3" s="200" t="s">
        <v>522</v>
      </c>
      <c r="E3" s="201" t="s">
        <v>523</v>
      </c>
      <c r="F3" s="301"/>
      <c r="G3" s="301"/>
      <c r="H3" s="301"/>
      <c r="I3" s="301"/>
      <c r="J3" s="301"/>
      <c r="K3" s="301"/>
      <c r="L3" s="301"/>
      <c r="M3" s="301"/>
      <c r="N3" s="301"/>
      <c r="O3" s="301"/>
      <c r="P3" s="301"/>
      <c r="Q3" s="301"/>
      <c r="R3" s="301"/>
      <c r="S3" s="301"/>
      <c r="T3" s="301"/>
      <c r="U3" s="301"/>
      <c r="V3" s="301"/>
      <c r="W3" s="301"/>
      <c r="X3" s="301"/>
    </row>
    <row r="4" spans="1:24" ht="14.25" customHeight="1" thickBot="1">
      <c r="A4" s="301"/>
      <c r="B4" s="196" t="s">
        <v>148</v>
      </c>
      <c r="C4" s="202"/>
      <c r="D4" s="203"/>
      <c r="E4" s="204"/>
      <c r="F4" s="301"/>
      <c r="G4" s="301"/>
      <c r="H4" s="301"/>
      <c r="I4" s="301"/>
      <c r="J4" s="301"/>
      <c r="K4" s="301"/>
      <c r="L4" s="301"/>
      <c r="M4" s="301"/>
      <c r="N4" s="301"/>
      <c r="O4" s="301"/>
      <c r="P4" s="301"/>
      <c r="Q4" s="301"/>
      <c r="R4" s="301"/>
      <c r="S4" s="301"/>
      <c r="T4" s="301"/>
      <c r="U4" s="301"/>
      <c r="V4" s="301"/>
      <c r="W4" s="301"/>
      <c r="X4" s="301"/>
    </row>
    <row r="5" spans="1:24" ht="14.25" customHeight="1" thickTop="1">
      <c r="A5" s="301"/>
      <c r="B5" s="195" t="s">
        <v>43</v>
      </c>
      <c r="C5" s="205">
        <f>'Fat-Application Development'!G32</f>
        <v>31982.21153846154</v>
      </c>
      <c r="D5" s="206">
        <v>31982.2115</v>
      </c>
      <c r="E5" s="207">
        <f>'Citrix Application Development'!F32</f>
        <v>31982.21153846154</v>
      </c>
      <c r="F5" s="301"/>
      <c r="G5" s="301"/>
      <c r="H5" s="301"/>
      <c r="I5" s="301"/>
      <c r="J5" s="301"/>
      <c r="K5" s="301"/>
      <c r="L5" s="301"/>
      <c r="M5" s="301"/>
      <c r="N5" s="301"/>
      <c r="O5" s="301"/>
      <c r="P5" s="301"/>
      <c r="Q5" s="301"/>
      <c r="R5" s="301"/>
      <c r="S5" s="301"/>
      <c r="T5" s="301"/>
      <c r="U5" s="301"/>
      <c r="V5" s="301"/>
      <c r="W5" s="301"/>
      <c r="X5" s="301"/>
    </row>
    <row r="6" spans="1:24" ht="15" customHeight="1">
      <c r="A6" s="301"/>
      <c r="B6" s="195" t="s">
        <v>61</v>
      </c>
      <c r="C6" s="208">
        <f>'Fat-Client Software Acquisition'!H29</f>
        <v>1077500</v>
      </c>
      <c r="D6" s="209">
        <v>1077500</v>
      </c>
      <c r="E6" s="210">
        <f>'Citrix Client Soft. Acquisition'!H29</f>
        <v>605000</v>
      </c>
      <c r="F6" s="301"/>
      <c r="G6" s="301"/>
      <c r="H6" s="301"/>
      <c r="I6" s="301"/>
      <c r="J6" s="301"/>
      <c r="K6" s="301"/>
      <c r="L6" s="301"/>
      <c r="M6" s="301"/>
      <c r="N6" s="301"/>
      <c r="O6" s="301"/>
      <c r="P6" s="301"/>
      <c r="Q6" s="301"/>
      <c r="R6" s="301"/>
      <c r="S6" s="301"/>
      <c r="T6" s="301"/>
      <c r="U6" s="301"/>
      <c r="V6" s="301"/>
      <c r="W6" s="301"/>
      <c r="X6" s="301"/>
    </row>
    <row r="7" spans="1:24" ht="14.25">
      <c r="A7" s="301"/>
      <c r="B7" s="195" t="s">
        <v>74</v>
      </c>
      <c r="C7" s="208">
        <f>'Fat-Server Software Acquisition'!H33</f>
        <v>384078</v>
      </c>
      <c r="D7" s="209">
        <v>386166</v>
      </c>
      <c r="E7" s="210">
        <f>'Citrix Server Soft. Acquisition'!H33</f>
        <v>1309836.1538461538</v>
      </c>
      <c r="F7" s="301"/>
      <c r="G7" s="301"/>
      <c r="H7" s="301"/>
      <c r="I7" s="301"/>
      <c r="J7" s="301"/>
      <c r="K7" s="301"/>
      <c r="L7" s="301"/>
      <c r="M7" s="301"/>
      <c r="N7" s="301"/>
      <c r="O7" s="301"/>
      <c r="P7" s="301"/>
      <c r="Q7" s="301"/>
      <c r="R7" s="301"/>
      <c r="S7" s="301"/>
      <c r="T7" s="301"/>
      <c r="U7" s="301"/>
      <c r="V7" s="301"/>
      <c r="W7" s="301"/>
      <c r="X7" s="301"/>
    </row>
    <row r="8" spans="1:24" ht="14.25">
      <c r="A8" s="301"/>
      <c r="B8" s="195" t="s">
        <v>149</v>
      </c>
      <c r="C8" s="208">
        <f>'Fat-Application Integration'!G18</f>
        <v>4897.752403846154</v>
      </c>
      <c r="D8" s="209">
        <v>9109.9519</v>
      </c>
      <c r="E8" s="210">
        <f>'Citrix Application Integration'!G18</f>
        <v>2568.653846153846</v>
      </c>
      <c r="F8" s="301"/>
      <c r="G8" s="301"/>
      <c r="H8" s="301"/>
      <c r="I8" s="301"/>
      <c r="J8" s="301"/>
      <c r="K8" s="301"/>
      <c r="L8" s="301"/>
      <c r="M8" s="301"/>
      <c r="N8" s="301"/>
      <c r="O8" s="301"/>
      <c r="P8" s="301"/>
      <c r="Q8" s="301"/>
      <c r="R8" s="301"/>
      <c r="S8" s="301"/>
      <c r="T8" s="301"/>
      <c r="U8" s="301"/>
      <c r="V8" s="301"/>
      <c r="W8" s="301"/>
      <c r="X8" s="301"/>
    </row>
    <row r="9" spans="1:24" ht="14.25">
      <c r="A9" s="301"/>
      <c r="B9" s="195" t="s">
        <v>98</v>
      </c>
      <c r="C9" s="208">
        <f>'Fat-Application Installation'!G17*'Front End'!G3</f>
        <v>159725</v>
      </c>
      <c r="D9" s="209">
        <v>68450</v>
      </c>
      <c r="E9" s="210">
        <f>'Citrix Application Installation'!G17*'Front End'!G3</f>
        <v>0</v>
      </c>
      <c r="F9" s="343"/>
      <c r="G9" s="301"/>
      <c r="H9" s="301"/>
      <c r="I9" s="301"/>
      <c r="J9" s="301"/>
      <c r="K9" s="301"/>
      <c r="L9" s="301"/>
      <c r="M9" s="301"/>
      <c r="N9" s="301"/>
      <c r="O9" s="301"/>
      <c r="P9" s="301"/>
      <c r="Q9" s="301"/>
      <c r="R9" s="301"/>
      <c r="S9" s="301"/>
      <c r="T9" s="301"/>
      <c r="U9" s="301"/>
      <c r="V9" s="301"/>
      <c r="W9" s="301"/>
      <c r="X9" s="301"/>
    </row>
    <row r="10" spans="1:24" ht="14.25">
      <c r="A10" s="301"/>
      <c r="B10" s="195" t="s">
        <v>99</v>
      </c>
      <c r="C10" s="208">
        <f>'Fat-Application Training'!G40</f>
        <v>4013547.692307692</v>
      </c>
      <c r="D10" s="209">
        <v>4013547.6923</v>
      </c>
      <c r="E10" s="210">
        <f>'Citrix Application Training'!G40</f>
        <v>4013547.692307692</v>
      </c>
      <c r="F10" s="343"/>
      <c r="G10" s="301"/>
      <c r="H10" s="301"/>
      <c r="I10" s="301"/>
      <c r="J10" s="301"/>
      <c r="K10" s="301"/>
      <c r="L10" s="301"/>
      <c r="M10" s="301"/>
      <c r="N10" s="301"/>
      <c r="O10" s="301"/>
      <c r="P10" s="301"/>
      <c r="Q10" s="301"/>
      <c r="R10" s="301"/>
      <c r="S10" s="301"/>
      <c r="T10" s="301"/>
      <c r="U10" s="301"/>
      <c r="V10" s="301"/>
      <c r="W10" s="301"/>
      <c r="X10" s="301"/>
    </row>
    <row r="11" spans="1:24" ht="14.25">
      <c r="A11" s="301"/>
      <c r="B11" s="195" t="s">
        <v>100</v>
      </c>
      <c r="C11" s="208">
        <f>'Fat-Hardware Procurement'!H81</f>
        <v>1727380</v>
      </c>
      <c r="D11" s="209">
        <v>1766300</v>
      </c>
      <c r="E11" s="210">
        <f>'Citrix Hardware Procurement'!H81</f>
        <v>2436921.5384615385</v>
      </c>
      <c r="F11" s="301"/>
      <c r="G11" s="301"/>
      <c r="H11" s="301"/>
      <c r="I11" s="301"/>
      <c r="J11" s="301"/>
      <c r="K11" s="301"/>
      <c r="L11" s="301"/>
      <c r="M11" s="301"/>
      <c r="N11" s="301"/>
      <c r="O11" s="301"/>
      <c r="P11" s="301"/>
      <c r="Q11" s="301"/>
      <c r="R11" s="301"/>
      <c r="S11" s="301"/>
      <c r="T11" s="301"/>
      <c r="U11" s="301"/>
      <c r="V11" s="301"/>
      <c r="W11" s="301"/>
      <c r="X11" s="301"/>
    </row>
    <row r="12" spans="1:24" ht="15" thickBot="1">
      <c r="A12" s="301"/>
      <c r="B12" s="197" t="s">
        <v>524</v>
      </c>
      <c r="C12" s="211">
        <f>'Calculation Sheet'!I13</f>
        <v>360000</v>
      </c>
      <c r="D12" s="212">
        <v>3006000</v>
      </c>
      <c r="E12" s="213">
        <f>'Calculation Sheet'!K13</f>
        <v>511200</v>
      </c>
      <c r="F12" s="301"/>
      <c r="G12" s="301"/>
      <c r="H12" s="301"/>
      <c r="I12" s="301"/>
      <c r="J12" s="301"/>
      <c r="K12" s="301"/>
      <c r="L12" s="301"/>
      <c r="M12" s="301"/>
      <c r="N12" s="301"/>
      <c r="O12" s="301"/>
      <c r="P12" s="301"/>
      <c r="Q12" s="301"/>
      <c r="R12" s="301"/>
      <c r="S12" s="301"/>
      <c r="T12" s="301"/>
      <c r="U12" s="301"/>
      <c r="V12" s="301"/>
      <c r="W12" s="301"/>
      <c r="X12" s="301"/>
    </row>
    <row r="13" spans="1:24" ht="15" thickTop="1">
      <c r="A13" s="301"/>
      <c r="B13" s="324" t="s">
        <v>560</v>
      </c>
      <c r="C13" s="325">
        <f>SUM(C5:C12)</f>
        <v>7759110.65625</v>
      </c>
      <c r="D13" s="326">
        <f>SUM(D5:D12)</f>
        <v>10359055.855700001</v>
      </c>
      <c r="E13" s="327">
        <f>SUM(E5:E12)</f>
        <v>8911056.25</v>
      </c>
      <c r="F13" s="301"/>
      <c r="G13" s="301"/>
      <c r="H13" s="301"/>
      <c r="I13" s="301"/>
      <c r="J13" s="301"/>
      <c r="K13" s="301"/>
      <c r="L13" s="301"/>
      <c r="M13" s="301"/>
      <c r="N13" s="301"/>
      <c r="O13" s="301"/>
      <c r="P13" s="301"/>
      <c r="Q13" s="301"/>
      <c r="R13" s="301"/>
      <c r="S13" s="301"/>
      <c r="T13" s="301"/>
      <c r="U13" s="301"/>
      <c r="V13" s="301"/>
      <c r="W13" s="301"/>
      <c r="X13" s="301"/>
    </row>
    <row r="14" spans="1:24" ht="14.25">
      <c r="A14" s="301"/>
      <c r="B14" s="195"/>
      <c r="C14" s="208"/>
      <c r="D14" s="209"/>
      <c r="E14" s="210"/>
      <c r="F14" s="301"/>
      <c r="G14" s="301"/>
      <c r="H14" s="301"/>
      <c r="I14" s="301"/>
      <c r="J14" s="301"/>
      <c r="K14" s="301"/>
      <c r="L14" s="301"/>
      <c r="M14" s="301"/>
      <c r="N14" s="301"/>
      <c r="O14" s="301"/>
      <c r="P14" s="301"/>
      <c r="Q14" s="301"/>
      <c r="R14" s="301"/>
      <c r="S14" s="301"/>
      <c r="T14" s="301"/>
      <c r="U14" s="301"/>
      <c r="V14" s="301"/>
      <c r="W14" s="301"/>
      <c r="X14" s="301"/>
    </row>
    <row r="15" spans="1:24" ht="15" thickBot="1">
      <c r="A15" s="301"/>
      <c r="B15" s="198" t="s">
        <v>597</v>
      </c>
      <c r="C15" s="208"/>
      <c r="D15" s="209"/>
      <c r="E15" s="210"/>
      <c r="F15" s="301"/>
      <c r="G15" s="301"/>
      <c r="H15" s="301"/>
      <c r="I15" s="301"/>
      <c r="J15" s="301"/>
      <c r="K15" s="301"/>
      <c r="L15" s="301"/>
      <c r="M15" s="301"/>
      <c r="N15" s="301"/>
      <c r="O15" s="301"/>
      <c r="P15" s="301"/>
      <c r="Q15" s="301"/>
      <c r="R15" s="301"/>
      <c r="S15" s="301"/>
      <c r="T15" s="301"/>
      <c r="U15" s="301"/>
      <c r="V15" s="301"/>
      <c r="W15" s="301"/>
      <c r="X15" s="301"/>
    </row>
    <row r="16" spans="1:24" ht="15" thickTop="1">
      <c r="A16" s="301"/>
      <c r="B16" s="195" t="s">
        <v>336</v>
      </c>
      <c r="C16" s="208">
        <f>SUM('Fat WAN Infrastructure'!G37,'Fat WAN Infrastructure'!G31,'Fat WAN Infrastructure'!G22,'Fat WAN Infrastructure'!G16)</f>
        <v>547022</v>
      </c>
      <c r="D16" s="209">
        <v>2972900</v>
      </c>
      <c r="E16" s="210">
        <f>SUM('Citrix WAN Infrastructure'!G16,'Citrix WAN Infrastructure'!G22,'Citrix WAN Infrastructure'!G31,'Citrix WAN Infrastructure'!G37)</f>
        <v>624827</v>
      </c>
      <c r="F16" s="301"/>
      <c r="G16" s="301"/>
      <c r="H16" s="301"/>
      <c r="I16" s="301"/>
      <c r="J16" s="301"/>
      <c r="K16" s="301"/>
      <c r="L16" s="301"/>
      <c r="M16" s="301"/>
      <c r="N16" s="301"/>
      <c r="O16" s="301"/>
      <c r="P16" s="301"/>
      <c r="Q16" s="301"/>
      <c r="R16" s="301"/>
      <c r="S16" s="301"/>
      <c r="T16" s="301"/>
      <c r="U16" s="301"/>
      <c r="V16" s="301"/>
      <c r="W16" s="301"/>
      <c r="X16" s="301"/>
    </row>
    <row r="17" spans="1:24" ht="14.25">
      <c r="A17" s="301"/>
      <c r="B17" s="195" t="s">
        <v>323</v>
      </c>
      <c r="C17" s="208">
        <f>'Calculation Sheet'!I2</f>
        <v>412500</v>
      </c>
      <c r="D17" s="209">
        <v>412500</v>
      </c>
      <c r="E17" s="210">
        <f>'Calculation Sheet'!I4</f>
        <v>412500</v>
      </c>
      <c r="F17" s="301"/>
      <c r="G17" s="301"/>
      <c r="H17" s="301"/>
      <c r="I17" s="301"/>
      <c r="J17" s="301"/>
      <c r="K17" s="301"/>
      <c r="L17" s="301"/>
      <c r="M17" s="301"/>
      <c r="N17" s="301"/>
      <c r="O17" s="301"/>
      <c r="P17" s="301"/>
      <c r="Q17" s="301"/>
      <c r="R17" s="301"/>
      <c r="S17" s="301"/>
      <c r="T17" s="301"/>
      <c r="U17" s="301"/>
      <c r="V17" s="301"/>
      <c r="W17" s="301"/>
      <c r="X17" s="301"/>
    </row>
    <row r="18" spans="1:24" ht="14.25">
      <c r="A18" s="301"/>
      <c r="B18" s="195" t="s">
        <v>127</v>
      </c>
      <c r="C18" s="208">
        <f>'Fat-Application Maintenance'!G20*'Front End'!G3</f>
        <v>4690675</v>
      </c>
      <c r="D18" s="209">
        <v>3869175</v>
      </c>
      <c r="E18" s="210">
        <f>'Citrix Application Maintenance'!G20*'Front End'!G3</f>
        <v>3047675</v>
      </c>
      <c r="F18" s="301"/>
      <c r="G18" s="301"/>
      <c r="H18" s="301"/>
      <c r="I18" s="301"/>
      <c r="J18" s="301"/>
      <c r="K18" s="301"/>
      <c r="L18" s="301"/>
      <c r="M18" s="301"/>
      <c r="N18" s="301"/>
      <c r="O18" s="301"/>
      <c r="P18" s="301"/>
      <c r="Q18" s="301"/>
      <c r="R18" s="301"/>
      <c r="S18" s="301"/>
      <c r="T18" s="301"/>
      <c r="U18" s="301"/>
      <c r="V18" s="301"/>
      <c r="W18" s="301"/>
      <c r="X18" s="301"/>
    </row>
    <row r="19" spans="1:24" ht="14.25">
      <c r="A19" s="301"/>
      <c r="B19" s="195" t="s">
        <v>132</v>
      </c>
      <c r="C19" s="208">
        <f>'Fat-Server Operations'!F14</f>
        <v>60686.10576923077</v>
      </c>
      <c r="D19" s="209">
        <v>64580.1923</v>
      </c>
      <c r="E19" s="210">
        <f>'Citrix Server Operations'!F14</f>
        <v>131678.29881656804</v>
      </c>
      <c r="F19" s="301"/>
      <c r="G19" s="301"/>
      <c r="H19" s="301"/>
      <c r="I19" s="301"/>
      <c r="J19" s="301"/>
      <c r="K19" s="301"/>
      <c r="L19" s="301"/>
      <c r="M19" s="301"/>
      <c r="N19" s="301"/>
      <c r="O19" s="301"/>
      <c r="P19" s="301"/>
      <c r="Q19" s="301"/>
      <c r="R19" s="301"/>
      <c r="S19" s="301"/>
      <c r="T19" s="301"/>
      <c r="U19" s="301"/>
      <c r="V19" s="301"/>
      <c r="W19" s="301"/>
      <c r="X19" s="301"/>
    </row>
    <row r="20" spans="1:24" ht="14.25">
      <c r="A20" s="301"/>
      <c r="B20" s="195" t="s">
        <v>44</v>
      </c>
      <c r="C20" s="208">
        <f>'Calculation Sheet'!B71</f>
        <v>3327031.993670886</v>
      </c>
      <c r="D20" s="209">
        <v>1835726.2975</v>
      </c>
      <c r="E20" s="210">
        <f>'Calculation Sheet'!B73</f>
        <v>1090073.4493670885</v>
      </c>
      <c r="F20" s="301"/>
      <c r="G20" s="301"/>
      <c r="H20" s="301"/>
      <c r="I20" s="301"/>
      <c r="J20" s="301"/>
      <c r="K20" s="301"/>
      <c r="L20" s="301"/>
      <c r="M20" s="301"/>
      <c r="N20" s="301"/>
      <c r="O20" s="301"/>
      <c r="P20" s="301"/>
      <c r="Q20" s="301"/>
      <c r="R20" s="301"/>
      <c r="S20" s="301"/>
      <c r="T20" s="301"/>
      <c r="U20" s="301"/>
      <c r="V20" s="301"/>
      <c r="W20" s="301"/>
      <c r="X20" s="301"/>
    </row>
    <row r="21" spans="1:24" ht="14.25">
      <c r="A21" s="301"/>
      <c r="B21" s="195" t="s">
        <v>141</v>
      </c>
      <c r="C21" s="208">
        <f>'Fat-Loss of Productivity'!F31</f>
        <v>10141250</v>
      </c>
      <c r="D21" s="209">
        <v>5090907.5</v>
      </c>
      <c r="E21" s="210">
        <f>'Citrix Loss of Productivity'!F31</f>
        <v>3062657.5</v>
      </c>
      <c r="F21" s="301"/>
      <c r="G21" s="301"/>
      <c r="H21" s="301"/>
      <c r="I21" s="301"/>
      <c r="J21" s="301"/>
      <c r="K21" s="301"/>
      <c r="L21" s="301"/>
      <c r="M21" s="301"/>
      <c r="N21" s="301"/>
      <c r="O21" s="301"/>
      <c r="P21" s="301"/>
      <c r="Q21" s="301"/>
      <c r="R21" s="301"/>
      <c r="S21" s="301"/>
      <c r="T21" s="301"/>
      <c r="U21" s="301"/>
      <c r="V21" s="301"/>
      <c r="W21" s="301"/>
      <c r="X21" s="301"/>
    </row>
    <row r="22" spans="1:24" ht="15" thickBot="1">
      <c r="A22" s="301"/>
      <c r="B22" s="197" t="s">
        <v>152</v>
      </c>
      <c r="C22" s="211">
        <f>'Building Infrastructure'!F19</f>
        <v>291400</v>
      </c>
      <c r="D22" s="212">
        <v>291400</v>
      </c>
      <c r="E22" s="213">
        <f>'Building Infrastructure'!F19</f>
        <v>291400</v>
      </c>
      <c r="F22" s="301"/>
      <c r="G22" s="301"/>
      <c r="H22" s="301"/>
      <c r="I22" s="301"/>
      <c r="J22" s="301"/>
      <c r="K22" s="301"/>
      <c r="L22" s="301"/>
      <c r="M22" s="301"/>
      <c r="N22" s="301"/>
      <c r="O22" s="301"/>
      <c r="P22" s="301"/>
      <c r="Q22" s="301"/>
      <c r="R22" s="301"/>
      <c r="S22" s="301"/>
      <c r="T22" s="301"/>
      <c r="U22" s="301"/>
      <c r="V22" s="301"/>
      <c r="W22" s="301"/>
      <c r="X22" s="301"/>
    </row>
    <row r="23" spans="1:24" ht="15" thickTop="1">
      <c r="A23" s="301"/>
      <c r="B23" s="324" t="s">
        <v>561</v>
      </c>
      <c r="C23" s="325">
        <f>SUM(C16:C22)</f>
        <v>19470565.099440116</v>
      </c>
      <c r="D23" s="326">
        <f>SUM(D16:D22)</f>
        <v>14537188.9898</v>
      </c>
      <c r="E23" s="327">
        <f>SUM(E16:E22)</f>
        <v>8660811.248183656</v>
      </c>
      <c r="F23" s="301"/>
      <c r="G23" s="301"/>
      <c r="H23" s="301"/>
      <c r="I23" s="301"/>
      <c r="J23" s="301"/>
      <c r="K23" s="301"/>
      <c r="L23" s="301"/>
      <c r="M23" s="301"/>
      <c r="N23" s="301"/>
      <c r="O23" s="301"/>
      <c r="P23" s="301"/>
      <c r="Q23" s="301"/>
      <c r="R23" s="301"/>
      <c r="S23" s="301"/>
      <c r="T23" s="301"/>
      <c r="U23" s="301"/>
      <c r="V23" s="301"/>
      <c r="W23" s="301"/>
      <c r="X23" s="301"/>
    </row>
    <row r="24" spans="1:24" ht="14.25">
      <c r="A24" s="301"/>
      <c r="B24" s="195"/>
      <c r="C24" s="208"/>
      <c r="D24" s="209"/>
      <c r="E24" s="210"/>
      <c r="F24" s="301"/>
      <c r="G24" s="301"/>
      <c r="H24" s="301"/>
      <c r="I24" s="301"/>
      <c r="J24" s="301"/>
      <c r="K24" s="301"/>
      <c r="L24" s="301"/>
      <c r="M24" s="301"/>
      <c r="N24" s="301"/>
      <c r="O24" s="301"/>
      <c r="P24" s="301"/>
      <c r="Q24" s="301"/>
      <c r="R24" s="301"/>
      <c r="S24" s="301"/>
      <c r="T24" s="301"/>
      <c r="U24" s="301"/>
      <c r="V24" s="301"/>
      <c r="W24" s="301"/>
      <c r="X24" s="301"/>
    </row>
    <row r="25" spans="1:24" ht="15" thickBot="1">
      <c r="A25" s="301"/>
      <c r="B25" s="198" t="s">
        <v>598</v>
      </c>
      <c r="C25" s="208"/>
      <c r="D25" s="209"/>
      <c r="E25" s="210"/>
      <c r="F25" s="301"/>
      <c r="G25" s="301"/>
      <c r="H25" s="301"/>
      <c r="I25" s="301"/>
      <c r="J25" s="301"/>
      <c r="K25" s="301"/>
      <c r="L25" s="301"/>
      <c r="M25" s="301"/>
      <c r="N25" s="301"/>
      <c r="O25" s="301"/>
      <c r="P25" s="301"/>
      <c r="Q25" s="301"/>
      <c r="R25" s="301"/>
      <c r="S25" s="301"/>
      <c r="T25" s="301"/>
      <c r="U25" s="301"/>
      <c r="V25" s="301"/>
      <c r="W25" s="301"/>
      <c r="X25" s="301"/>
    </row>
    <row r="26" spans="1:24" ht="15.75" thickBot="1" thickTop="1">
      <c r="A26" s="301"/>
      <c r="B26" s="197" t="s">
        <v>525</v>
      </c>
      <c r="C26" s="211">
        <f>SUM('Fat-Hardware Procurement'!H16,'Fat-Hardware Procurement'!H29,'Fat-Hardware Procurement'!H40)</f>
        <v>1285880</v>
      </c>
      <c r="D26" s="212">
        <v>1324800</v>
      </c>
      <c r="E26" s="213">
        <f>SUM('Citrix Hardware Procurement'!H16,'Citrix Hardware Procurement'!H29,'Citrix Hardware Procurement'!H40)</f>
        <v>1995421.5384615385</v>
      </c>
      <c r="F26" s="301"/>
      <c r="G26" s="301"/>
      <c r="H26" s="301"/>
      <c r="I26" s="301"/>
      <c r="J26" s="301"/>
      <c r="K26" s="301"/>
      <c r="L26" s="301"/>
      <c r="M26" s="301"/>
      <c r="N26" s="301"/>
      <c r="O26" s="301"/>
      <c r="P26" s="301"/>
      <c r="Q26" s="301"/>
      <c r="R26" s="301"/>
      <c r="S26" s="301"/>
      <c r="T26" s="301"/>
      <c r="U26" s="301"/>
      <c r="V26" s="301"/>
      <c r="W26" s="301"/>
      <c r="X26" s="301"/>
    </row>
    <row r="27" spans="1:24" ht="15" thickTop="1">
      <c r="A27" s="301"/>
      <c r="B27" s="324" t="s">
        <v>562</v>
      </c>
      <c r="C27" s="325">
        <f>SUM(C26)</f>
        <v>1285880</v>
      </c>
      <c r="D27" s="326">
        <f>SUM(D26)</f>
        <v>1324800</v>
      </c>
      <c r="E27" s="327">
        <f>SUM(E26)</f>
        <v>1995421.5384615385</v>
      </c>
      <c r="F27" s="301"/>
      <c r="G27" s="301"/>
      <c r="H27" s="301"/>
      <c r="I27" s="301"/>
      <c r="J27" s="301"/>
      <c r="K27" s="301"/>
      <c r="L27" s="301"/>
      <c r="M27" s="301"/>
      <c r="N27" s="301"/>
      <c r="O27" s="301"/>
      <c r="P27" s="301"/>
      <c r="Q27" s="301"/>
      <c r="R27" s="301"/>
      <c r="S27" s="301"/>
      <c r="T27" s="301"/>
      <c r="U27" s="301"/>
      <c r="V27" s="301"/>
      <c r="W27" s="301"/>
      <c r="X27" s="301"/>
    </row>
    <row r="28" spans="1:24" ht="14.25">
      <c r="A28" s="301"/>
      <c r="B28" s="195"/>
      <c r="C28" s="208"/>
      <c r="D28" s="209"/>
      <c r="E28" s="210"/>
      <c r="F28" s="301"/>
      <c r="G28" s="301"/>
      <c r="H28" s="301"/>
      <c r="I28" s="301"/>
      <c r="J28" s="301"/>
      <c r="K28" s="301"/>
      <c r="L28" s="301"/>
      <c r="M28" s="301"/>
      <c r="N28" s="301"/>
      <c r="O28" s="301"/>
      <c r="P28" s="301"/>
      <c r="Q28" s="301"/>
      <c r="R28" s="301"/>
      <c r="S28" s="301"/>
      <c r="T28" s="301"/>
      <c r="U28" s="301"/>
      <c r="V28" s="301"/>
      <c r="W28" s="301"/>
      <c r="X28" s="301"/>
    </row>
    <row r="29" spans="1:24" ht="15">
      <c r="A29" s="301"/>
      <c r="B29" s="328" t="s">
        <v>564</v>
      </c>
      <c r="C29" s="329">
        <v>27229675.7557</v>
      </c>
      <c r="D29" s="330">
        <v>24896244.8455</v>
      </c>
      <c r="E29" s="331">
        <v>17571867.4982</v>
      </c>
      <c r="F29" s="301"/>
      <c r="G29" s="301"/>
      <c r="H29" s="301"/>
      <c r="I29" s="301"/>
      <c r="J29" s="301"/>
      <c r="K29" s="301"/>
      <c r="L29" s="301"/>
      <c r="M29" s="301"/>
      <c r="N29" s="301"/>
      <c r="O29" s="301"/>
      <c r="P29" s="301"/>
      <c r="Q29" s="301"/>
      <c r="R29" s="301"/>
      <c r="S29" s="301"/>
      <c r="T29" s="301"/>
      <c r="U29" s="301"/>
      <c r="V29" s="301"/>
      <c r="W29" s="301"/>
      <c r="X29" s="301"/>
    </row>
    <row r="30" spans="1:24" ht="15">
      <c r="A30" s="301"/>
      <c r="B30" s="332" t="s">
        <v>565</v>
      </c>
      <c r="C30" s="329">
        <f>C29+C23</f>
        <v>46700240.85514012</v>
      </c>
      <c r="D30" s="330">
        <f>D29+D23</f>
        <v>39433433.8353</v>
      </c>
      <c r="E30" s="331">
        <f>E29+E23</f>
        <v>26232678.746383656</v>
      </c>
      <c r="F30" s="301"/>
      <c r="G30" s="301"/>
      <c r="H30" s="301"/>
      <c r="I30" s="301"/>
      <c r="J30" s="301"/>
      <c r="K30" s="301"/>
      <c r="L30" s="301"/>
      <c r="M30" s="301"/>
      <c r="N30" s="301"/>
      <c r="O30" s="301"/>
      <c r="P30" s="301"/>
      <c r="Q30" s="301"/>
      <c r="R30" s="301"/>
      <c r="S30" s="301"/>
      <c r="T30" s="301"/>
      <c r="U30" s="301"/>
      <c r="V30" s="301"/>
      <c r="W30" s="301"/>
      <c r="X30" s="301"/>
    </row>
    <row r="31" spans="1:24" ht="15">
      <c r="A31" s="301"/>
      <c r="B31" s="333" t="s">
        <v>566</v>
      </c>
      <c r="C31" s="334">
        <f>SUM(C23*2)+C30+C27</f>
        <v>86927251.05402035</v>
      </c>
      <c r="D31" s="335">
        <f>SUM(D23*2)+D27+D30</f>
        <v>69832611.8149</v>
      </c>
      <c r="E31" s="336">
        <f>SUM(E23*2)+E27+E30</f>
        <v>45549722.78121251</v>
      </c>
      <c r="F31" s="301"/>
      <c r="G31" s="301"/>
      <c r="H31" s="301"/>
      <c r="I31" s="301"/>
      <c r="J31" s="301"/>
      <c r="K31" s="301"/>
      <c r="L31" s="301"/>
      <c r="M31" s="301"/>
      <c r="N31" s="301"/>
      <c r="O31" s="301"/>
      <c r="P31" s="301"/>
      <c r="Q31" s="301"/>
      <c r="R31" s="301"/>
      <c r="S31" s="301"/>
      <c r="T31" s="301"/>
      <c r="U31" s="301"/>
      <c r="V31" s="301"/>
      <c r="W31" s="301"/>
      <c r="X31" s="301"/>
    </row>
    <row r="32" spans="1:24" ht="13.5" thickBot="1">
      <c r="A32" s="301"/>
      <c r="B32" s="301"/>
      <c r="C32" s="301"/>
      <c r="D32" s="301"/>
      <c r="E32" s="301"/>
      <c r="F32" s="301"/>
      <c r="G32" s="301"/>
      <c r="H32" s="301"/>
      <c r="I32" s="301"/>
      <c r="J32" s="301"/>
      <c r="K32" s="301"/>
      <c r="L32" s="301"/>
      <c r="M32" s="301"/>
      <c r="N32" s="301"/>
      <c r="O32" s="301"/>
      <c r="P32" s="301"/>
      <c r="Q32" s="301"/>
      <c r="R32" s="301"/>
      <c r="S32" s="301"/>
      <c r="T32" s="301"/>
      <c r="U32" s="301"/>
      <c r="V32" s="301"/>
      <c r="W32" s="301"/>
      <c r="X32" s="301"/>
    </row>
    <row r="33" spans="1:24" ht="13.5" thickTop="1">
      <c r="A33" s="301"/>
      <c r="B33" s="220" t="s">
        <v>280</v>
      </c>
      <c r="C33" s="223" t="s">
        <v>334</v>
      </c>
      <c r="D33" s="227" t="str">
        <f>'Calculation Sheet'!J75</f>
        <v>Server</v>
      </c>
      <c r="E33" s="232" t="s">
        <v>12</v>
      </c>
      <c r="F33" s="301"/>
      <c r="G33" s="301"/>
      <c r="H33" s="301"/>
      <c r="I33" s="301"/>
      <c r="J33" s="301"/>
      <c r="K33" s="301"/>
      <c r="L33" s="301"/>
      <c r="M33" s="301"/>
      <c r="N33" s="301"/>
      <c r="O33" s="301"/>
      <c r="P33" s="301"/>
      <c r="Q33" s="301"/>
      <c r="R33" s="301"/>
      <c r="S33" s="301"/>
      <c r="T33" s="301"/>
      <c r="U33" s="301"/>
      <c r="V33" s="301"/>
      <c r="W33" s="301"/>
      <c r="X33" s="301"/>
    </row>
    <row r="34" spans="1:24" ht="12.75">
      <c r="A34" s="301"/>
      <c r="B34" s="221" t="s">
        <v>574</v>
      </c>
      <c r="C34" s="224" t="s">
        <v>334</v>
      </c>
      <c r="D34" s="228" t="str">
        <f>'Calculation Sheet'!J76</f>
        <v>Client</v>
      </c>
      <c r="E34" s="233" t="s">
        <v>12</v>
      </c>
      <c r="F34" s="301"/>
      <c r="G34" s="301"/>
      <c r="H34" s="301"/>
      <c r="I34" s="301"/>
      <c r="J34" s="301"/>
      <c r="K34" s="301"/>
      <c r="L34" s="301"/>
      <c r="M34" s="301"/>
      <c r="N34" s="301"/>
      <c r="O34" s="301"/>
      <c r="P34" s="301"/>
      <c r="Q34" s="301"/>
      <c r="R34" s="301"/>
      <c r="S34" s="301"/>
      <c r="T34" s="301"/>
      <c r="U34" s="301"/>
      <c r="V34" s="301"/>
      <c r="W34" s="301"/>
      <c r="X34" s="301"/>
    </row>
    <row r="35" spans="1:24" ht="12.75">
      <c r="A35" s="301"/>
      <c r="B35" s="221" t="s">
        <v>281</v>
      </c>
      <c r="C35" s="224" t="s">
        <v>334</v>
      </c>
      <c r="D35" s="229" t="str">
        <f>'Calculation Sheet'!J77</f>
        <v>Client</v>
      </c>
      <c r="E35" s="233" t="s">
        <v>12</v>
      </c>
      <c r="F35" s="301"/>
      <c r="G35" s="301"/>
      <c r="H35" s="301"/>
      <c r="I35" s="301"/>
      <c r="J35" s="301"/>
      <c r="K35" s="301"/>
      <c r="L35" s="301"/>
      <c r="M35" s="301"/>
      <c r="N35" s="301"/>
      <c r="O35" s="301"/>
      <c r="P35" s="301"/>
      <c r="Q35" s="301"/>
      <c r="R35" s="301"/>
      <c r="S35" s="301"/>
      <c r="T35" s="301"/>
      <c r="U35" s="301"/>
      <c r="V35" s="301"/>
      <c r="W35" s="301"/>
      <c r="X35" s="301"/>
    </row>
    <row r="36" spans="1:24" ht="12.75">
      <c r="A36" s="301"/>
      <c r="B36" s="221" t="s">
        <v>599</v>
      </c>
      <c r="C36" s="225">
        <f>'Front End'!G3</f>
        <v>2500</v>
      </c>
      <c r="D36" s="230">
        <f>'Front End'!G3</f>
        <v>2500</v>
      </c>
      <c r="E36" s="234">
        <f>'Front End'!G3</f>
        <v>2500</v>
      </c>
      <c r="F36" s="301"/>
      <c r="G36" s="301"/>
      <c r="H36" s="301"/>
      <c r="I36" s="301"/>
      <c r="J36" s="301"/>
      <c r="K36" s="301"/>
      <c r="L36" s="301"/>
      <c r="M36" s="301"/>
      <c r="N36" s="301"/>
      <c r="O36" s="301"/>
      <c r="P36" s="301"/>
      <c r="Q36" s="301"/>
      <c r="R36" s="301"/>
      <c r="S36" s="301"/>
      <c r="T36" s="301"/>
      <c r="U36" s="301"/>
      <c r="V36" s="301"/>
      <c r="W36" s="301"/>
      <c r="X36" s="301"/>
    </row>
    <row r="37" spans="1:24" ht="26.25" thickBot="1">
      <c r="A37" s="301"/>
      <c r="B37" s="222" t="s">
        <v>600</v>
      </c>
      <c r="C37" s="226">
        <f>'Front End'!G7+'Front End'!G33</f>
        <v>1050</v>
      </c>
      <c r="D37" s="231">
        <f>'Front End'!G7+'Front End'!G33</f>
        <v>1050</v>
      </c>
      <c r="E37" s="235">
        <f>'Front End'!G7+'Front End'!G33</f>
        <v>1050</v>
      </c>
      <c r="F37" s="301"/>
      <c r="G37" s="301"/>
      <c r="H37" s="301"/>
      <c r="I37" s="301"/>
      <c r="J37" s="301"/>
      <c r="K37" s="301"/>
      <c r="L37" s="301"/>
      <c r="M37" s="301"/>
      <c r="N37" s="301"/>
      <c r="O37" s="301"/>
      <c r="P37" s="301"/>
      <c r="Q37" s="301"/>
      <c r="R37" s="301"/>
      <c r="S37" s="301"/>
      <c r="T37" s="301"/>
      <c r="U37" s="301"/>
      <c r="V37" s="301"/>
      <c r="W37" s="301"/>
      <c r="X37" s="301"/>
    </row>
    <row r="38" spans="1:24" ht="13.5" thickTop="1">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row>
    <row r="39" spans="1:24" ht="12.75">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row>
    <row r="40" spans="1:24" ht="12.75">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row>
    <row r="41" spans="1:24" ht="12.75">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row>
    <row r="42" spans="1:24" ht="12.75">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row>
    <row r="43" spans="1:24" ht="12.75">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row>
    <row r="44" spans="1:24" ht="12.75">
      <c r="A44" s="301"/>
      <c r="B44" s="301"/>
      <c r="C44" s="301"/>
      <c r="D44" s="301"/>
      <c r="E44" s="301"/>
      <c r="F44" s="301"/>
      <c r="G44" s="301"/>
      <c r="H44" s="301"/>
      <c r="I44" s="301"/>
      <c r="J44" s="301"/>
      <c r="K44" s="301"/>
      <c r="L44" s="301"/>
      <c r="M44" s="301"/>
      <c r="N44" s="301"/>
      <c r="O44" s="301"/>
      <c r="P44" s="301"/>
      <c r="Q44" s="301"/>
      <c r="R44" s="301"/>
      <c r="S44" s="301"/>
      <c r="T44" s="301"/>
      <c r="U44" s="301"/>
      <c r="V44" s="301"/>
      <c r="W44" s="301"/>
      <c r="X44" s="301"/>
    </row>
    <row r="45" spans="1:24" ht="12.75">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row>
    <row r="46" spans="1:24" ht="12.7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row>
    <row r="47" spans="1:24" ht="12.75">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row>
    <row r="48" spans="1:24" ht="12.75">
      <c r="A48" s="301"/>
      <c r="B48" s="301"/>
      <c r="C48" s="301"/>
      <c r="D48" s="301"/>
      <c r="E48" s="301"/>
      <c r="F48" s="301"/>
      <c r="G48" s="301"/>
      <c r="H48" s="301"/>
      <c r="I48" s="301"/>
      <c r="J48" s="301"/>
      <c r="K48" s="301"/>
      <c r="L48" s="301"/>
      <c r="M48" s="301"/>
      <c r="N48" s="301"/>
      <c r="O48" s="301"/>
      <c r="P48" s="301"/>
      <c r="Q48" s="301"/>
      <c r="R48" s="301"/>
      <c r="S48" s="301"/>
      <c r="T48" s="301"/>
      <c r="U48" s="301"/>
      <c r="V48" s="301"/>
      <c r="W48" s="301"/>
      <c r="X48" s="301"/>
    </row>
    <row r="49" spans="1:24" ht="12.75">
      <c r="A49" s="301"/>
      <c r="B49" s="301"/>
      <c r="C49" s="301"/>
      <c r="D49" s="301"/>
      <c r="E49" s="301"/>
      <c r="F49" s="301"/>
      <c r="G49" s="301"/>
      <c r="H49" s="301"/>
      <c r="I49" s="301"/>
      <c r="J49" s="301"/>
      <c r="K49" s="301"/>
      <c r="L49" s="301"/>
      <c r="M49" s="301"/>
      <c r="N49" s="301"/>
      <c r="O49" s="301"/>
      <c r="P49" s="301"/>
      <c r="Q49" s="301"/>
      <c r="R49" s="301"/>
      <c r="S49" s="301"/>
      <c r="T49" s="301"/>
      <c r="U49" s="301"/>
      <c r="V49" s="301"/>
      <c r="W49" s="301"/>
      <c r="X49" s="301"/>
    </row>
    <row r="50" spans="1:24" ht="12.75">
      <c r="A50" s="301"/>
      <c r="B50" s="301"/>
      <c r="C50" s="301"/>
      <c r="D50" s="301"/>
      <c r="E50" s="301"/>
      <c r="F50" s="301"/>
      <c r="G50" s="301"/>
      <c r="H50" s="301"/>
      <c r="I50" s="301"/>
      <c r="J50" s="301"/>
      <c r="K50" s="301"/>
      <c r="L50" s="301"/>
      <c r="M50" s="301"/>
      <c r="N50" s="301"/>
      <c r="O50" s="301"/>
      <c r="P50" s="301"/>
      <c r="Q50" s="301"/>
      <c r="R50" s="301"/>
      <c r="S50" s="301"/>
      <c r="T50" s="301"/>
      <c r="U50" s="301"/>
      <c r="V50" s="301"/>
      <c r="W50" s="301"/>
      <c r="X50" s="301"/>
    </row>
    <row r="51" spans="1:24" ht="12.75">
      <c r="A51" s="301"/>
      <c r="B51" s="301"/>
      <c r="C51" s="301"/>
      <c r="D51" s="301"/>
      <c r="E51" s="301"/>
      <c r="F51" s="301"/>
      <c r="G51" s="301"/>
      <c r="H51" s="301"/>
      <c r="I51" s="301"/>
      <c r="J51" s="301"/>
      <c r="K51" s="301"/>
      <c r="L51" s="301"/>
      <c r="M51" s="301"/>
      <c r="N51" s="301"/>
      <c r="O51" s="301"/>
      <c r="P51" s="301"/>
      <c r="Q51" s="301"/>
      <c r="R51" s="301"/>
      <c r="S51" s="301"/>
      <c r="T51" s="301"/>
      <c r="U51" s="301"/>
      <c r="V51" s="301"/>
      <c r="W51" s="301"/>
      <c r="X51" s="301"/>
    </row>
    <row r="52" spans="1:24" ht="12.75">
      <c r="A52" s="301"/>
      <c r="B52" s="301"/>
      <c r="C52" s="301"/>
      <c r="D52" s="301"/>
      <c r="E52" s="301"/>
      <c r="F52" s="301"/>
      <c r="G52" s="301"/>
      <c r="H52" s="301"/>
      <c r="I52" s="301"/>
      <c r="J52" s="301"/>
      <c r="K52" s="301"/>
      <c r="L52" s="301"/>
      <c r="M52" s="301"/>
      <c r="N52" s="301"/>
      <c r="O52" s="301"/>
      <c r="P52" s="301"/>
      <c r="Q52" s="301"/>
      <c r="R52" s="301"/>
      <c r="S52" s="301"/>
      <c r="T52" s="301"/>
      <c r="U52" s="301"/>
      <c r="V52" s="301"/>
      <c r="W52" s="301"/>
      <c r="X52" s="301"/>
    </row>
    <row r="53" spans="1:24" ht="12.75">
      <c r="A53" s="301"/>
      <c r="B53" s="301"/>
      <c r="C53" s="301"/>
      <c r="D53" s="301"/>
      <c r="E53" s="301"/>
      <c r="F53" s="301"/>
      <c r="G53" s="301"/>
      <c r="H53" s="301"/>
      <c r="I53" s="301"/>
      <c r="J53" s="301"/>
      <c r="K53" s="301"/>
      <c r="L53" s="301"/>
      <c r="M53" s="301"/>
      <c r="N53" s="301"/>
      <c r="O53" s="301"/>
      <c r="P53" s="301"/>
      <c r="Q53" s="301"/>
      <c r="R53" s="301"/>
      <c r="S53" s="301"/>
      <c r="T53" s="301"/>
      <c r="U53" s="301"/>
      <c r="V53" s="301"/>
      <c r="W53" s="301"/>
      <c r="X53" s="301"/>
    </row>
    <row r="54" spans="1:24" ht="12.75">
      <c r="A54" s="301"/>
      <c r="B54" s="301"/>
      <c r="C54" s="301"/>
      <c r="D54" s="301"/>
      <c r="E54" s="301"/>
      <c r="F54" s="301"/>
      <c r="G54" s="301"/>
      <c r="H54" s="301"/>
      <c r="I54" s="301"/>
      <c r="J54" s="301"/>
      <c r="K54" s="301"/>
      <c r="L54" s="301"/>
      <c r="M54" s="301"/>
      <c r="N54" s="301"/>
      <c r="O54" s="301"/>
      <c r="P54" s="301"/>
      <c r="Q54" s="301"/>
      <c r="R54" s="301"/>
      <c r="S54" s="301"/>
      <c r="T54" s="301"/>
      <c r="U54" s="301"/>
      <c r="V54" s="301"/>
      <c r="W54" s="301"/>
      <c r="X54" s="301"/>
    </row>
    <row r="55" spans="1:24" ht="12.75">
      <c r="A55" s="301"/>
      <c r="B55" s="301"/>
      <c r="C55" s="301"/>
      <c r="D55" s="301"/>
      <c r="E55" s="301"/>
      <c r="F55" s="301"/>
      <c r="G55" s="301"/>
      <c r="H55" s="301"/>
      <c r="I55" s="301"/>
      <c r="J55" s="301"/>
      <c r="K55" s="301"/>
      <c r="L55" s="301"/>
      <c r="M55" s="301"/>
      <c r="N55" s="301"/>
      <c r="O55" s="301"/>
      <c r="P55" s="301"/>
      <c r="Q55" s="301"/>
      <c r="R55" s="301"/>
      <c r="S55" s="301"/>
      <c r="T55" s="301"/>
      <c r="U55" s="301"/>
      <c r="V55" s="301"/>
      <c r="W55" s="301"/>
      <c r="X55" s="301"/>
    </row>
    <row r="56" spans="1:24" ht="12.75">
      <c r="A56" s="301"/>
      <c r="B56" s="301"/>
      <c r="C56" s="301"/>
      <c r="D56" s="301"/>
      <c r="E56" s="301"/>
      <c r="F56" s="301"/>
      <c r="G56" s="301"/>
      <c r="H56" s="301"/>
      <c r="I56" s="301"/>
      <c r="J56" s="301"/>
      <c r="K56" s="301"/>
      <c r="L56" s="301"/>
      <c r="M56" s="301"/>
      <c r="N56" s="301"/>
      <c r="O56" s="301"/>
      <c r="P56" s="301"/>
      <c r="Q56" s="301"/>
      <c r="R56" s="301"/>
      <c r="S56" s="301"/>
      <c r="T56" s="301"/>
      <c r="U56" s="301"/>
      <c r="V56" s="301"/>
      <c r="W56" s="301"/>
      <c r="X56" s="301"/>
    </row>
    <row r="57" spans="1:24" ht="12.75">
      <c r="A57" s="301"/>
      <c r="B57" s="301"/>
      <c r="C57" s="301"/>
      <c r="D57" s="301"/>
      <c r="E57" s="301"/>
      <c r="F57" s="301"/>
      <c r="G57" s="301"/>
      <c r="H57" s="301"/>
      <c r="I57" s="301"/>
      <c r="J57" s="301"/>
      <c r="K57" s="301"/>
      <c r="L57" s="301"/>
      <c r="M57" s="301"/>
      <c r="N57" s="301"/>
      <c r="O57" s="301"/>
      <c r="P57" s="301"/>
      <c r="Q57" s="301"/>
      <c r="R57" s="301"/>
      <c r="S57" s="301"/>
      <c r="T57" s="301"/>
      <c r="U57" s="301"/>
      <c r="V57" s="301"/>
      <c r="W57" s="301"/>
      <c r="X57" s="301"/>
    </row>
    <row r="58" spans="1:24" ht="12.75">
      <c r="A58" s="301"/>
      <c r="B58" s="301"/>
      <c r="C58" s="301"/>
      <c r="D58" s="301"/>
      <c r="E58" s="301"/>
      <c r="F58" s="301"/>
      <c r="G58" s="301"/>
      <c r="H58" s="301"/>
      <c r="I58" s="301"/>
      <c r="J58" s="301"/>
      <c r="K58" s="301"/>
      <c r="L58" s="301"/>
      <c r="M58" s="301"/>
      <c r="N58" s="301"/>
      <c r="O58" s="301"/>
      <c r="P58" s="301"/>
      <c r="Q58" s="301"/>
      <c r="R58" s="301"/>
      <c r="S58" s="301"/>
      <c r="T58" s="301"/>
      <c r="U58" s="301"/>
      <c r="V58" s="301"/>
      <c r="W58" s="301"/>
      <c r="X58" s="301"/>
    </row>
    <row r="59" spans="1:24" ht="12.75">
      <c r="A59" s="301"/>
      <c r="B59" s="301"/>
      <c r="C59" s="301"/>
      <c r="D59" s="301"/>
      <c r="E59" s="301"/>
      <c r="F59" s="301"/>
      <c r="G59" s="301"/>
      <c r="H59" s="301"/>
      <c r="I59" s="301"/>
      <c r="J59" s="301"/>
      <c r="K59" s="301"/>
      <c r="L59" s="301"/>
      <c r="M59" s="301"/>
      <c r="N59" s="301"/>
      <c r="O59" s="301"/>
      <c r="P59" s="301"/>
      <c r="Q59" s="301"/>
      <c r="R59" s="301"/>
      <c r="S59" s="301"/>
      <c r="T59" s="301"/>
      <c r="U59" s="301"/>
      <c r="V59" s="301"/>
      <c r="W59" s="301"/>
      <c r="X59" s="301"/>
    </row>
    <row r="60" spans="1:24" ht="12.75">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row>
    <row r="61" spans="1:24" ht="12.75">
      <c r="A61" s="301"/>
      <c r="B61" s="301"/>
      <c r="C61" s="301"/>
      <c r="D61" s="301"/>
      <c r="E61" s="301"/>
      <c r="F61" s="301"/>
      <c r="G61" s="301"/>
      <c r="H61" s="301"/>
      <c r="I61" s="301"/>
      <c r="J61" s="301"/>
      <c r="K61" s="301"/>
      <c r="L61" s="301"/>
      <c r="M61" s="301"/>
      <c r="N61" s="301"/>
      <c r="O61" s="301"/>
      <c r="P61" s="301"/>
      <c r="Q61" s="301"/>
      <c r="R61" s="301"/>
      <c r="S61" s="301"/>
      <c r="T61" s="301"/>
      <c r="U61" s="301"/>
      <c r="V61" s="301"/>
      <c r="W61" s="301"/>
      <c r="X61" s="301"/>
    </row>
    <row r="62" spans="1:24" ht="12.75">
      <c r="A62" s="301"/>
      <c r="B62" s="301"/>
      <c r="C62" s="301"/>
      <c r="D62" s="301"/>
      <c r="E62" s="301"/>
      <c r="F62" s="301"/>
      <c r="G62" s="301"/>
      <c r="H62" s="301"/>
      <c r="I62" s="301"/>
      <c r="J62" s="301"/>
      <c r="K62" s="301"/>
      <c r="L62" s="301"/>
      <c r="M62" s="301"/>
      <c r="N62" s="301"/>
      <c r="O62" s="301"/>
      <c r="P62" s="301"/>
      <c r="Q62" s="301"/>
      <c r="R62" s="301"/>
      <c r="S62" s="301"/>
      <c r="T62" s="301"/>
      <c r="U62" s="301"/>
      <c r="V62" s="301"/>
      <c r="W62" s="301"/>
      <c r="X62" s="301"/>
    </row>
    <row r="63" spans="1:24" ht="12.75">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row>
    <row r="64" spans="1:24" ht="12.75">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row>
    <row r="65" spans="1:24" ht="12.75">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row>
    <row r="66" spans="1:24" ht="12.75">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row>
    <row r="67" spans="1:24" ht="12.75">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row>
    <row r="68" spans="1:24" ht="12.75">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row>
    <row r="69" spans="1:24" ht="12.75">
      <c r="A69" s="301"/>
      <c r="B69" s="301"/>
      <c r="C69" s="301"/>
      <c r="D69" s="301"/>
      <c r="E69" s="301"/>
      <c r="F69" s="301"/>
      <c r="G69" s="301"/>
      <c r="H69" s="301"/>
      <c r="I69" s="301"/>
      <c r="J69" s="301"/>
      <c r="K69" s="301"/>
      <c r="L69" s="301"/>
      <c r="M69" s="301"/>
      <c r="N69" s="301"/>
      <c r="O69" s="301"/>
      <c r="P69" s="301"/>
      <c r="Q69" s="301"/>
      <c r="R69" s="301"/>
      <c r="S69" s="301"/>
      <c r="T69" s="301"/>
      <c r="U69" s="301"/>
      <c r="V69" s="301"/>
      <c r="W69" s="301"/>
      <c r="X69" s="301"/>
    </row>
    <row r="70" spans="1:24" ht="12.75">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row>
    <row r="71" spans="1:24" ht="12.75">
      <c r="A71" s="301"/>
      <c r="B71" s="301"/>
      <c r="C71" s="301"/>
      <c r="D71" s="301"/>
      <c r="E71" s="301"/>
      <c r="F71" s="301"/>
      <c r="G71" s="301"/>
      <c r="H71" s="301"/>
      <c r="I71" s="301"/>
      <c r="J71" s="301"/>
      <c r="K71" s="301"/>
      <c r="L71" s="301"/>
      <c r="M71" s="301"/>
      <c r="N71" s="301"/>
      <c r="O71" s="301"/>
      <c r="P71" s="301"/>
      <c r="Q71" s="301"/>
      <c r="R71" s="301"/>
      <c r="S71" s="301"/>
      <c r="T71" s="301"/>
      <c r="U71" s="301"/>
      <c r="V71" s="301"/>
      <c r="W71" s="301"/>
      <c r="X71" s="301"/>
    </row>
    <row r="72" spans="1:24" ht="12.75">
      <c r="A72" s="301"/>
      <c r="B72" s="301"/>
      <c r="C72" s="301"/>
      <c r="D72" s="301"/>
      <c r="E72" s="301"/>
      <c r="F72" s="301"/>
      <c r="G72" s="301"/>
      <c r="H72" s="301"/>
      <c r="I72" s="301"/>
      <c r="J72" s="301"/>
      <c r="K72" s="301"/>
      <c r="L72" s="301"/>
      <c r="M72" s="301"/>
      <c r="N72" s="301"/>
      <c r="O72" s="301"/>
      <c r="P72" s="301"/>
      <c r="Q72" s="301"/>
      <c r="R72" s="301"/>
      <c r="S72" s="301"/>
      <c r="T72" s="301"/>
      <c r="U72" s="301"/>
      <c r="V72" s="301"/>
      <c r="W72" s="301"/>
      <c r="X72" s="301"/>
    </row>
    <row r="73" spans="1:24" ht="12.75">
      <c r="A73" s="301"/>
      <c r="B73" s="301"/>
      <c r="C73" s="301"/>
      <c r="D73" s="301"/>
      <c r="E73" s="301"/>
      <c r="F73" s="301"/>
      <c r="G73" s="301"/>
      <c r="H73" s="301"/>
      <c r="I73" s="301"/>
      <c r="J73" s="301"/>
      <c r="K73" s="301"/>
      <c r="L73" s="301"/>
      <c r="M73" s="301"/>
      <c r="N73" s="301"/>
      <c r="O73" s="301"/>
      <c r="P73" s="301"/>
      <c r="Q73" s="301"/>
      <c r="R73" s="301"/>
      <c r="S73" s="301"/>
      <c r="T73" s="301"/>
      <c r="U73" s="301"/>
      <c r="V73" s="301"/>
      <c r="W73" s="301"/>
      <c r="X73" s="301"/>
    </row>
    <row r="74" spans="1:24" ht="12.75">
      <c r="A74" s="301"/>
      <c r="B74" s="301"/>
      <c r="C74" s="301"/>
      <c r="D74" s="301"/>
      <c r="E74" s="301"/>
      <c r="F74" s="301"/>
      <c r="G74" s="301"/>
      <c r="H74" s="301"/>
      <c r="I74" s="301"/>
      <c r="J74" s="301"/>
      <c r="K74" s="301"/>
      <c r="L74" s="301"/>
      <c r="M74" s="301"/>
      <c r="N74" s="301"/>
      <c r="O74" s="301"/>
      <c r="P74" s="301"/>
      <c r="Q74" s="301"/>
      <c r="R74" s="301"/>
      <c r="S74" s="301"/>
      <c r="T74" s="301"/>
      <c r="U74" s="301"/>
      <c r="V74" s="301"/>
      <c r="W74" s="301"/>
      <c r="X74" s="301"/>
    </row>
    <row r="75" spans="1:24" ht="12.75">
      <c r="A75" s="301"/>
      <c r="B75" s="301"/>
      <c r="C75" s="301"/>
      <c r="D75" s="301"/>
      <c r="E75" s="301"/>
      <c r="F75" s="301"/>
      <c r="G75" s="301"/>
      <c r="H75" s="301"/>
      <c r="I75" s="301"/>
      <c r="J75" s="301"/>
      <c r="K75" s="301"/>
      <c r="L75" s="301"/>
      <c r="M75" s="301"/>
      <c r="N75" s="301"/>
      <c r="O75" s="301"/>
      <c r="P75" s="301"/>
      <c r="Q75" s="301"/>
      <c r="R75" s="301"/>
      <c r="S75" s="301"/>
      <c r="T75" s="301"/>
      <c r="U75" s="301"/>
      <c r="V75" s="301"/>
      <c r="W75" s="301"/>
      <c r="X75" s="301"/>
    </row>
    <row r="76" spans="1:24" ht="12.75">
      <c r="A76" s="301"/>
      <c r="B76" s="301"/>
      <c r="C76" s="301"/>
      <c r="D76" s="301"/>
      <c r="E76" s="301"/>
      <c r="F76" s="301"/>
      <c r="G76" s="301"/>
      <c r="H76" s="301"/>
      <c r="I76" s="301"/>
      <c r="J76" s="301"/>
      <c r="K76" s="301"/>
      <c r="L76" s="301"/>
      <c r="M76" s="301"/>
      <c r="N76" s="301"/>
      <c r="O76" s="301"/>
      <c r="P76" s="301"/>
      <c r="Q76" s="301"/>
      <c r="R76" s="301"/>
      <c r="S76" s="301"/>
      <c r="T76" s="301"/>
      <c r="U76" s="301"/>
      <c r="V76" s="301"/>
      <c r="W76" s="301"/>
      <c r="X76" s="301"/>
    </row>
    <row r="77" spans="1:24" ht="12.75">
      <c r="A77" s="301"/>
      <c r="B77" s="301"/>
      <c r="C77" s="301"/>
      <c r="D77" s="301"/>
      <c r="E77" s="301"/>
      <c r="F77" s="301"/>
      <c r="G77" s="301"/>
      <c r="H77" s="301"/>
      <c r="I77" s="301"/>
      <c r="J77" s="301"/>
      <c r="K77" s="301"/>
      <c r="L77" s="301"/>
      <c r="M77" s="301"/>
      <c r="N77" s="301"/>
      <c r="O77" s="301"/>
      <c r="P77" s="301"/>
      <c r="Q77" s="301"/>
      <c r="R77" s="301"/>
      <c r="S77" s="301"/>
      <c r="T77" s="301"/>
      <c r="U77" s="301"/>
      <c r="V77" s="301"/>
      <c r="W77" s="301"/>
      <c r="X77" s="301"/>
    </row>
    <row r="78" spans="1:24" ht="12.75">
      <c r="A78" s="301"/>
      <c r="B78" s="301"/>
      <c r="C78" s="301"/>
      <c r="D78" s="301"/>
      <c r="E78" s="301"/>
      <c r="F78" s="301"/>
      <c r="G78" s="301"/>
      <c r="H78" s="301"/>
      <c r="I78" s="301"/>
      <c r="J78" s="301"/>
      <c r="K78" s="301"/>
      <c r="L78" s="301"/>
      <c r="M78" s="301"/>
      <c r="N78" s="301"/>
      <c r="O78" s="301"/>
      <c r="P78" s="301"/>
      <c r="Q78" s="301"/>
      <c r="R78" s="301"/>
      <c r="S78" s="301"/>
      <c r="T78" s="301"/>
      <c r="U78" s="301"/>
      <c r="V78" s="301"/>
      <c r="W78" s="301"/>
      <c r="X78" s="301"/>
    </row>
    <row r="79" spans="1:24" ht="12.75">
      <c r="A79" s="301"/>
      <c r="B79" s="301"/>
      <c r="C79" s="301"/>
      <c r="D79" s="301"/>
      <c r="E79" s="301"/>
      <c r="F79" s="301"/>
      <c r="G79" s="301"/>
      <c r="H79" s="301"/>
      <c r="I79" s="301"/>
      <c r="J79" s="301"/>
      <c r="K79" s="301"/>
      <c r="L79" s="301"/>
      <c r="M79" s="301"/>
      <c r="N79" s="301"/>
      <c r="O79" s="301"/>
      <c r="P79" s="301"/>
      <c r="Q79" s="301"/>
      <c r="R79" s="301"/>
      <c r="S79" s="301"/>
      <c r="T79" s="301"/>
      <c r="U79" s="301"/>
      <c r="V79" s="301"/>
      <c r="W79" s="301"/>
      <c r="X79" s="301"/>
    </row>
    <row r="80" spans="1:24" ht="12.75">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row>
    <row r="81" spans="1:24" ht="12.75">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row>
    <row r="82" spans="1:24" ht="12.75">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row>
    <row r="83" spans="1:24" ht="12.75">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row>
    <row r="84" spans="1:24" ht="12.7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row>
    <row r="85" spans="1:24" ht="12.75">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row>
    <row r="86" spans="1:24" ht="12.75">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row>
    <row r="87" spans="1:24" ht="12.75">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row>
    <row r="88" spans="1:24" ht="12.75">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row>
    <row r="89" spans="1:24" ht="12.7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row>
    <row r="90" spans="1:24" ht="12.7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row>
    <row r="91" spans="1:24" ht="12.75">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row>
    <row r="92" spans="1:24" ht="12.75">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row>
    <row r="93" spans="1:24" ht="12.75">
      <c r="A93" s="301"/>
      <c r="B93" s="301"/>
      <c r="C93" s="301"/>
      <c r="D93" s="301"/>
      <c r="E93" s="301"/>
      <c r="F93" s="301"/>
      <c r="G93" s="301"/>
      <c r="H93" s="301"/>
      <c r="I93" s="301"/>
      <c r="J93" s="301"/>
      <c r="K93" s="301"/>
      <c r="L93" s="301"/>
      <c r="M93" s="301"/>
      <c r="N93" s="301"/>
      <c r="O93" s="301"/>
      <c r="P93" s="301"/>
      <c r="Q93" s="301"/>
      <c r="R93" s="301"/>
      <c r="S93" s="301"/>
      <c r="T93" s="301"/>
      <c r="U93" s="301"/>
      <c r="V93" s="301"/>
      <c r="W93" s="301"/>
      <c r="X93" s="301"/>
    </row>
    <row r="94" spans="1:24" ht="12.75">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row>
    <row r="95" spans="1:24" ht="12.75">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row>
    <row r="96" spans="1:24" ht="12.75">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row>
    <row r="97" spans="1:24" ht="12.75">
      <c r="A97" s="301"/>
      <c r="B97" s="301"/>
      <c r="C97" s="301"/>
      <c r="D97" s="301"/>
      <c r="E97" s="301"/>
      <c r="F97" s="301"/>
      <c r="G97" s="301"/>
      <c r="H97" s="301"/>
      <c r="I97" s="301"/>
      <c r="J97" s="301"/>
      <c r="K97" s="301"/>
      <c r="L97" s="301"/>
      <c r="M97" s="301"/>
      <c r="N97" s="301"/>
      <c r="O97" s="301"/>
      <c r="P97" s="301"/>
      <c r="Q97" s="301"/>
      <c r="R97" s="301"/>
      <c r="S97" s="301"/>
      <c r="T97" s="301"/>
      <c r="U97" s="301"/>
      <c r="V97" s="301"/>
      <c r="W97" s="301"/>
      <c r="X97" s="301"/>
    </row>
    <row r="98" spans="1:24" ht="12.75">
      <c r="A98" s="301"/>
      <c r="B98" s="301"/>
      <c r="C98" s="301"/>
      <c r="D98" s="301"/>
      <c r="E98" s="301"/>
      <c r="F98" s="301"/>
      <c r="G98" s="301"/>
      <c r="H98" s="301"/>
      <c r="I98" s="301"/>
      <c r="J98" s="301"/>
      <c r="K98" s="301"/>
      <c r="L98" s="301"/>
      <c r="M98" s="301"/>
      <c r="N98" s="301"/>
      <c r="O98" s="301"/>
      <c r="P98" s="301"/>
      <c r="Q98" s="301"/>
      <c r="R98" s="301"/>
      <c r="S98" s="301"/>
      <c r="T98" s="301"/>
      <c r="U98" s="301"/>
      <c r="V98" s="301"/>
      <c r="W98" s="301"/>
      <c r="X98" s="301"/>
    </row>
    <row r="99" spans="1:24" ht="12.75">
      <c r="A99" s="301"/>
      <c r="B99" s="301"/>
      <c r="C99" s="301"/>
      <c r="D99" s="301"/>
      <c r="E99" s="301"/>
      <c r="F99" s="301"/>
      <c r="G99" s="301"/>
      <c r="H99" s="301"/>
      <c r="I99" s="301"/>
      <c r="J99" s="301"/>
      <c r="K99" s="301"/>
      <c r="L99" s="301"/>
      <c r="M99" s="301"/>
      <c r="N99" s="301"/>
      <c r="O99" s="301"/>
      <c r="P99" s="301"/>
      <c r="Q99" s="301"/>
      <c r="R99" s="301"/>
      <c r="S99" s="301"/>
      <c r="T99" s="301"/>
      <c r="U99" s="301"/>
      <c r="V99" s="301"/>
      <c r="W99" s="301"/>
      <c r="X99" s="301"/>
    </row>
    <row r="100" spans="1:24" ht="12.75">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row>
    <row r="101" spans="1:24" ht="12.75">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row>
    <row r="102" spans="1:24" ht="12.75">
      <c r="A102" s="301"/>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row>
    <row r="103" spans="1:24" ht="12.75">
      <c r="A103" s="301"/>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row>
    <row r="104" spans="1:24" ht="12.75">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row>
    <row r="105" spans="1:24" ht="12.75">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row>
    <row r="106" spans="1:24" ht="12.75">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row>
    <row r="107" spans="1:24" ht="12.75">
      <c r="A107" s="301"/>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row>
    <row r="108" spans="1:24" ht="12.75">
      <c r="A108" s="301"/>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row>
    <row r="109" spans="1:24" ht="12.75">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row>
    <row r="110" spans="1:24" ht="12.75">
      <c r="A110" s="301"/>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row>
    <row r="111" spans="1:24" ht="12.75">
      <c r="A111" s="301"/>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row>
    <row r="112" spans="1:24" ht="12.75">
      <c r="A112" s="301"/>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row>
    <row r="113" spans="1:24" ht="12.75">
      <c r="A113" s="301"/>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row>
    <row r="114" spans="1:24" ht="12.75">
      <c r="A114" s="301"/>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row>
    <row r="115" spans="1:24" ht="12.75">
      <c r="A115" s="301"/>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row>
    <row r="116" spans="1:24" ht="12.75">
      <c r="A116" s="301"/>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row>
    <row r="117" spans="1:24" ht="12.75">
      <c r="A117" s="301"/>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row>
    <row r="118" spans="1:24" ht="12.75">
      <c r="A118" s="301"/>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row>
    <row r="119" spans="1:24" ht="12.75">
      <c r="A119" s="301"/>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row>
    <row r="120" spans="1:24" ht="12.75">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row>
    <row r="121" spans="1:24" ht="12.75">
      <c r="A121" s="301"/>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row>
    <row r="122" spans="1:24" ht="12.75">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row>
    <row r="123" spans="1:24" ht="12.75">
      <c r="A123" s="301"/>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row>
    <row r="124" spans="1:24" ht="12.75">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row>
    <row r="125" spans="1:24" ht="12.75">
      <c r="A125" s="30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row>
    <row r="126" spans="1:24" ht="12.75">
      <c r="A126" s="301"/>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row>
    <row r="127" spans="1:24" ht="12.75">
      <c r="A127" s="301"/>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row>
    <row r="128" spans="1:24" ht="12.75">
      <c r="A128" s="301"/>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row>
    <row r="129" spans="1:24" ht="12.75">
      <c r="A129" s="301"/>
      <c r="B129" s="301"/>
      <c r="C129" s="301"/>
      <c r="D129" s="301"/>
      <c r="E129" s="301"/>
      <c r="F129" s="301"/>
      <c r="G129" s="301"/>
      <c r="H129" s="301"/>
      <c r="I129" s="301"/>
      <c r="J129" s="301"/>
      <c r="K129" s="301"/>
      <c r="L129" s="301"/>
      <c r="M129" s="301"/>
      <c r="N129" s="301"/>
      <c r="O129" s="301"/>
      <c r="P129" s="301"/>
      <c r="Q129" s="301"/>
      <c r="R129" s="301"/>
      <c r="S129" s="301"/>
      <c r="T129" s="301"/>
      <c r="U129" s="301"/>
      <c r="V129" s="301"/>
      <c r="W129" s="301"/>
      <c r="X129" s="301"/>
    </row>
    <row r="130" spans="1:24" ht="12.75">
      <c r="A130" s="301"/>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row>
    <row r="131" spans="1:24" ht="12.75">
      <c r="A131" s="301"/>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row>
    <row r="132" spans="1:24" ht="12.75">
      <c r="A132" s="301"/>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row>
    <row r="133" spans="1:24" ht="12.75">
      <c r="A133" s="301"/>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row>
    <row r="134" spans="1:24" ht="12.75">
      <c r="A134" s="301"/>
      <c r="B134" s="301"/>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row>
    <row r="135" spans="1:24" ht="12.75">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row>
    <row r="136" spans="1:24" ht="12.75">
      <c r="A136" s="301"/>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row>
    <row r="137" spans="1:24" ht="12.75">
      <c r="A137" s="301"/>
      <c r="B137" s="301"/>
      <c r="C137" s="301"/>
      <c r="D137" s="301"/>
      <c r="E137" s="301"/>
      <c r="F137" s="301"/>
      <c r="G137" s="301"/>
      <c r="H137" s="301"/>
      <c r="I137" s="301"/>
      <c r="J137" s="301"/>
      <c r="K137" s="301"/>
      <c r="L137" s="301"/>
      <c r="M137" s="301"/>
      <c r="N137" s="301"/>
      <c r="O137" s="301"/>
      <c r="P137" s="301"/>
      <c r="Q137" s="301"/>
      <c r="R137" s="301"/>
      <c r="S137" s="301"/>
      <c r="T137" s="301"/>
      <c r="U137" s="301"/>
      <c r="V137" s="301"/>
      <c r="W137" s="301"/>
      <c r="X137" s="301"/>
    </row>
    <row r="138" spans="1:24" ht="12.75">
      <c r="A138" s="301"/>
      <c r="B138" s="301"/>
      <c r="C138" s="301"/>
      <c r="D138" s="301"/>
      <c r="E138" s="301"/>
      <c r="F138" s="301"/>
      <c r="G138" s="301"/>
      <c r="H138" s="301"/>
      <c r="I138" s="301"/>
      <c r="J138" s="301"/>
      <c r="K138" s="301"/>
      <c r="L138" s="301"/>
      <c r="M138" s="301"/>
      <c r="N138" s="301"/>
      <c r="O138" s="301"/>
      <c r="P138" s="301"/>
      <c r="Q138" s="301"/>
      <c r="R138" s="301"/>
      <c r="S138" s="301"/>
      <c r="T138" s="301"/>
      <c r="U138" s="301"/>
      <c r="V138" s="301"/>
      <c r="W138" s="301"/>
      <c r="X138" s="301"/>
    </row>
    <row r="139" spans="1:24" ht="12.75">
      <c r="A139" s="301"/>
      <c r="B139" s="301"/>
      <c r="C139" s="301"/>
      <c r="D139" s="301"/>
      <c r="E139" s="301"/>
      <c r="F139" s="301"/>
      <c r="G139" s="301"/>
      <c r="H139" s="301"/>
      <c r="I139" s="301"/>
      <c r="J139" s="301"/>
      <c r="K139" s="301"/>
      <c r="L139" s="301"/>
      <c r="M139" s="301"/>
      <c r="N139" s="301"/>
      <c r="O139" s="301"/>
      <c r="P139" s="301"/>
      <c r="Q139" s="301"/>
      <c r="R139" s="301"/>
      <c r="S139" s="301"/>
      <c r="T139" s="301"/>
      <c r="U139" s="301"/>
      <c r="V139" s="301"/>
      <c r="W139" s="301"/>
      <c r="X139" s="301"/>
    </row>
    <row r="140" spans="1:24" ht="12.75">
      <c r="A140" s="301"/>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row>
    <row r="141" spans="1:24" ht="12.75">
      <c r="A141" s="30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row>
    <row r="142" spans="1:24" ht="12.75">
      <c r="A142" s="301"/>
      <c r="B142" s="301"/>
      <c r="C142" s="301"/>
      <c r="D142" s="301"/>
      <c r="E142" s="301"/>
      <c r="F142" s="301"/>
      <c r="G142" s="301"/>
      <c r="H142" s="301"/>
      <c r="I142" s="301"/>
      <c r="J142" s="301"/>
      <c r="K142" s="301"/>
      <c r="L142" s="301"/>
      <c r="M142" s="301"/>
      <c r="N142" s="301"/>
      <c r="O142" s="301"/>
      <c r="P142" s="301"/>
      <c r="Q142" s="301"/>
      <c r="R142" s="301"/>
      <c r="S142" s="301"/>
      <c r="T142" s="301"/>
      <c r="U142" s="301"/>
      <c r="V142" s="301"/>
      <c r="W142" s="301"/>
      <c r="X142" s="301"/>
    </row>
    <row r="143" spans="1:24" ht="12.75">
      <c r="A143" s="301"/>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row>
    <row r="144" spans="1:24" ht="12.75">
      <c r="A144" s="301"/>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row>
    <row r="145" spans="1:24" ht="12.75">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row>
    <row r="146" spans="1:24" ht="12.75">
      <c r="A146" s="301"/>
      <c r="B146" s="301"/>
      <c r="C146" s="301"/>
      <c r="D146" s="301"/>
      <c r="E146" s="301"/>
      <c r="F146" s="301"/>
      <c r="G146" s="301"/>
      <c r="H146" s="301"/>
      <c r="I146" s="301"/>
      <c r="J146" s="301"/>
      <c r="K146" s="301"/>
      <c r="L146" s="301"/>
      <c r="M146" s="301"/>
      <c r="N146" s="301"/>
      <c r="O146" s="301"/>
      <c r="P146" s="301"/>
      <c r="Q146" s="301"/>
      <c r="R146" s="301"/>
      <c r="S146" s="301"/>
      <c r="T146" s="301"/>
      <c r="U146" s="301"/>
      <c r="V146" s="301"/>
      <c r="W146" s="301"/>
      <c r="X146" s="301"/>
    </row>
    <row r="147" spans="1:24" ht="12.75">
      <c r="A147" s="301"/>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row>
    <row r="148" spans="1:24" ht="12.75">
      <c r="A148" s="301"/>
      <c r="B148" s="301"/>
      <c r="C148" s="301"/>
      <c r="D148" s="301"/>
      <c r="E148" s="301"/>
      <c r="F148" s="301"/>
      <c r="G148" s="301"/>
      <c r="H148" s="301"/>
      <c r="I148" s="301"/>
      <c r="J148" s="301"/>
      <c r="K148" s="301"/>
      <c r="L148" s="301"/>
      <c r="M148" s="301"/>
      <c r="N148" s="301"/>
      <c r="O148" s="301"/>
      <c r="P148" s="301"/>
      <c r="Q148" s="301"/>
      <c r="R148" s="301"/>
      <c r="S148" s="301"/>
      <c r="T148" s="301"/>
      <c r="U148" s="301"/>
      <c r="V148" s="301"/>
      <c r="W148" s="301"/>
      <c r="X148" s="301"/>
    </row>
    <row r="149" spans="1:24" ht="12.75">
      <c r="A149" s="301"/>
      <c r="B149" s="301"/>
      <c r="C149" s="301"/>
      <c r="D149" s="301"/>
      <c r="E149" s="301"/>
      <c r="F149" s="301"/>
      <c r="G149" s="301"/>
      <c r="H149" s="301"/>
      <c r="I149" s="301"/>
      <c r="J149" s="301"/>
      <c r="K149" s="301"/>
      <c r="L149" s="301"/>
      <c r="M149" s="301"/>
      <c r="N149" s="301"/>
      <c r="O149" s="301"/>
      <c r="P149" s="301"/>
      <c r="Q149" s="301"/>
      <c r="R149" s="301"/>
      <c r="S149" s="301"/>
      <c r="T149" s="301"/>
      <c r="U149" s="301"/>
      <c r="V149" s="301"/>
      <c r="W149" s="301"/>
      <c r="X149" s="301"/>
    </row>
    <row r="150" spans="1:24" ht="12.75">
      <c r="A150" s="301"/>
      <c r="B150" s="301"/>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row>
    <row r="151" spans="1:24" ht="12.75">
      <c r="A151" s="301"/>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c r="X151" s="301"/>
    </row>
    <row r="152" spans="1:24" ht="12.75">
      <c r="A152" s="301"/>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row>
    <row r="153" spans="1:24" ht="12.75">
      <c r="A153" s="301"/>
      <c r="B153" s="301"/>
      <c r="C153" s="301"/>
      <c r="D153" s="301"/>
      <c r="E153" s="301"/>
      <c r="F153" s="301"/>
      <c r="G153" s="301"/>
      <c r="H153" s="301"/>
      <c r="I153" s="301"/>
      <c r="J153" s="301"/>
      <c r="K153" s="301"/>
      <c r="L153" s="301"/>
      <c r="M153" s="301"/>
      <c r="N153" s="301"/>
      <c r="O153" s="301"/>
      <c r="P153" s="301"/>
      <c r="Q153" s="301"/>
      <c r="R153" s="301"/>
      <c r="S153" s="301"/>
      <c r="T153" s="301"/>
      <c r="U153" s="301"/>
      <c r="V153" s="301"/>
      <c r="W153" s="301"/>
      <c r="X153" s="301"/>
    </row>
    <row r="154" spans="1:24" ht="12.75">
      <c r="A154" s="301"/>
      <c r="B154" s="301"/>
      <c r="C154" s="301"/>
      <c r="D154" s="301"/>
      <c r="E154" s="301"/>
      <c r="F154" s="301"/>
      <c r="G154" s="301"/>
      <c r="H154" s="301"/>
      <c r="I154" s="301"/>
      <c r="J154" s="301"/>
      <c r="K154" s="301"/>
      <c r="L154" s="301"/>
      <c r="M154" s="301"/>
      <c r="N154" s="301"/>
      <c r="O154" s="301"/>
      <c r="P154" s="301"/>
      <c r="Q154" s="301"/>
      <c r="R154" s="301"/>
      <c r="S154" s="301"/>
      <c r="T154" s="301"/>
      <c r="U154" s="301"/>
      <c r="V154" s="301"/>
      <c r="W154" s="301"/>
      <c r="X154" s="301"/>
    </row>
    <row r="155" spans="1:24" ht="12.75">
      <c r="A155" s="301"/>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c r="X155" s="301"/>
    </row>
    <row r="156" spans="1:24" ht="12.75">
      <c r="A156" s="301"/>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row>
    <row r="157" spans="1:24" ht="12.75">
      <c r="A157" s="301"/>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row>
    <row r="158" spans="1:24" ht="12.75">
      <c r="A158" s="301"/>
      <c r="B158" s="30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row>
    <row r="159" spans="1:24" ht="12.75">
      <c r="A159" s="301"/>
      <c r="B159" s="301"/>
      <c r="C159" s="301"/>
      <c r="D159" s="301"/>
      <c r="E159" s="301"/>
      <c r="F159" s="301"/>
      <c r="G159" s="301"/>
      <c r="H159" s="301"/>
      <c r="I159" s="301"/>
      <c r="J159" s="301"/>
      <c r="K159" s="301"/>
      <c r="L159" s="301"/>
      <c r="M159" s="301"/>
      <c r="N159" s="301"/>
      <c r="O159" s="301"/>
      <c r="P159" s="301"/>
      <c r="Q159" s="301"/>
      <c r="R159" s="301"/>
      <c r="S159" s="301"/>
      <c r="T159" s="301"/>
      <c r="U159" s="301"/>
      <c r="V159" s="301"/>
      <c r="W159" s="301"/>
      <c r="X159" s="301"/>
    </row>
    <row r="160" spans="1:24" ht="12.75">
      <c r="A160" s="301"/>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row>
    <row r="161" spans="1:24" ht="12.75">
      <c r="A161" s="301"/>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c r="X161" s="301"/>
    </row>
    <row r="162" spans="1:24" ht="12.75">
      <c r="A162" s="301"/>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c r="X162" s="301"/>
    </row>
    <row r="163" spans="1:24" ht="12.75">
      <c r="A163" s="301"/>
      <c r="B163" s="301"/>
      <c r="C163" s="301"/>
      <c r="D163" s="301"/>
      <c r="E163" s="301"/>
      <c r="F163" s="301"/>
      <c r="G163" s="301"/>
      <c r="H163" s="301"/>
      <c r="I163" s="301"/>
      <c r="J163" s="301"/>
      <c r="K163" s="301"/>
      <c r="L163" s="301"/>
      <c r="M163" s="301"/>
      <c r="N163" s="301"/>
      <c r="O163" s="301"/>
      <c r="P163" s="301"/>
      <c r="Q163" s="301"/>
      <c r="R163" s="301"/>
      <c r="S163" s="301"/>
      <c r="T163" s="301"/>
      <c r="U163" s="301"/>
      <c r="V163" s="301"/>
      <c r="W163" s="301"/>
      <c r="X163" s="301"/>
    </row>
    <row r="164" spans="1:24" ht="12.75">
      <c r="A164" s="301"/>
      <c r="B164" s="301"/>
      <c r="C164" s="301"/>
      <c r="D164" s="301"/>
      <c r="E164" s="301"/>
      <c r="F164" s="301"/>
      <c r="G164" s="301"/>
      <c r="H164" s="301"/>
      <c r="I164" s="301"/>
      <c r="J164" s="301"/>
      <c r="K164" s="301"/>
      <c r="L164" s="301"/>
      <c r="M164" s="301"/>
      <c r="N164" s="301"/>
      <c r="O164" s="301"/>
      <c r="P164" s="301"/>
      <c r="Q164" s="301"/>
      <c r="R164" s="301"/>
      <c r="S164" s="301"/>
      <c r="T164" s="301"/>
      <c r="U164" s="301"/>
      <c r="V164" s="301"/>
      <c r="W164" s="301"/>
      <c r="X164" s="301"/>
    </row>
    <row r="165" spans="1:24" ht="12.75">
      <c r="A165" s="301"/>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row>
    <row r="166" spans="1:24" ht="12.75">
      <c r="A166" s="301"/>
      <c r="B166" s="301"/>
      <c r="C166" s="301"/>
      <c r="D166" s="301"/>
      <c r="E166" s="301"/>
      <c r="F166" s="301"/>
      <c r="G166" s="301"/>
      <c r="H166" s="301"/>
      <c r="I166" s="301"/>
      <c r="J166" s="301"/>
      <c r="K166" s="301"/>
      <c r="L166" s="301"/>
      <c r="M166" s="301"/>
      <c r="N166" s="301"/>
      <c r="O166" s="301"/>
      <c r="P166" s="301"/>
      <c r="Q166" s="301"/>
      <c r="R166" s="301"/>
      <c r="S166" s="301"/>
      <c r="T166" s="301"/>
      <c r="U166" s="301"/>
      <c r="V166" s="301"/>
      <c r="W166" s="301"/>
      <c r="X166" s="301"/>
    </row>
    <row r="167" spans="1:24" ht="12.75">
      <c r="A167" s="301"/>
      <c r="B167" s="301"/>
      <c r="C167" s="301"/>
      <c r="D167" s="301"/>
      <c r="E167" s="301"/>
      <c r="F167" s="301"/>
      <c r="G167" s="301"/>
      <c r="H167" s="301"/>
      <c r="I167" s="301"/>
      <c r="J167" s="301"/>
      <c r="K167" s="301"/>
      <c r="L167" s="301"/>
      <c r="M167" s="301"/>
      <c r="N167" s="301"/>
      <c r="O167" s="301"/>
      <c r="P167" s="301"/>
      <c r="Q167" s="301"/>
      <c r="R167" s="301"/>
      <c r="S167" s="301"/>
      <c r="T167" s="301"/>
      <c r="U167" s="301"/>
      <c r="V167" s="301"/>
      <c r="W167" s="301"/>
      <c r="X167" s="301"/>
    </row>
    <row r="168" spans="1:24" ht="12.75">
      <c r="A168" s="301"/>
      <c r="B168" s="301"/>
      <c r="C168" s="301"/>
      <c r="D168" s="301"/>
      <c r="E168" s="301"/>
      <c r="F168" s="301"/>
      <c r="G168" s="301"/>
      <c r="H168" s="301"/>
      <c r="I168" s="301"/>
      <c r="J168" s="301"/>
      <c r="K168" s="301"/>
      <c r="L168" s="301"/>
      <c r="M168" s="301"/>
      <c r="N168" s="301"/>
      <c r="O168" s="301"/>
      <c r="P168" s="301"/>
      <c r="Q168" s="301"/>
      <c r="R168" s="301"/>
      <c r="S168" s="301"/>
      <c r="T168" s="301"/>
      <c r="U168" s="301"/>
      <c r="V168" s="301"/>
      <c r="W168" s="301"/>
      <c r="X168" s="301"/>
    </row>
    <row r="169" spans="1:24" ht="12.75">
      <c r="A169" s="301"/>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row>
    <row r="170" spans="1:24" ht="12.75">
      <c r="A170" s="301"/>
      <c r="B170" s="301"/>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row>
    <row r="171" spans="1:24" ht="12.75">
      <c r="A171" s="301"/>
      <c r="B171" s="301"/>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row>
    <row r="172" spans="1:24" ht="12.75">
      <c r="A172" s="301"/>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row>
    <row r="173" spans="1:24" ht="12.75">
      <c r="A173" s="301"/>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row>
    <row r="174" spans="1:24" ht="12.75">
      <c r="A174" s="301"/>
      <c r="B174" s="301"/>
      <c r="C174" s="301"/>
      <c r="D174" s="301"/>
      <c r="E174" s="301"/>
      <c r="F174" s="301"/>
      <c r="G174" s="301"/>
      <c r="H174" s="301"/>
      <c r="I174" s="301"/>
      <c r="J174" s="301"/>
      <c r="K174" s="301"/>
      <c r="L174" s="301"/>
      <c r="M174" s="301"/>
      <c r="N174" s="301"/>
      <c r="O174" s="301"/>
      <c r="P174" s="301"/>
      <c r="Q174" s="301"/>
      <c r="R174" s="301"/>
      <c r="S174" s="301"/>
      <c r="T174" s="301"/>
      <c r="U174" s="301"/>
      <c r="V174" s="301"/>
      <c r="W174" s="301"/>
      <c r="X174" s="301"/>
    </row>
    <row r="175" spans="1:24" ht="12.75">
      <c r="A175" s="301"/>
      <c r="B175" s="301"/>
      <c r="C175" s="301"/>
      <c r="D175" s="301"/>
      <c r="E175" s="301"/>
      <c r="F175" s="301"/>
      <c r="G175" s="301"/>
      <c r="H175" s="301"/>
      <c r="I175" s="301"/>
      <c r="J175" s="301"/>
      <c r="K175" s="301"/>
      <c r="L175" s="301"/>
      <c r="M175" s="301"/>
      <c r="N175" s="301"/>
      <c r="O175" s="301"/>
      <c r="P175" s="301"/>
      <c r="Q175" s="301"/>
      <c r="R175" s="301"/>
      <c r="S175" s="301"/>
      <c r="T175" s="301"/>
      <c r="U175" s="301"/>
      <c r="V175" s="301"/>
      <c r="W175" s="301"/>
      <c r="X175" s="301"/>
    </row>
    <row r="176" spans="1:24" ht="12.75">
      <c r="A176" s="301"/>
      <c r="B176" s="301"/>
      <c r="C176" s="301"/>
      <c r="D176" s="301"/>
      <c r="E176" s="301"/>
      <c r="F176" s="301"/>
      <c r="G176" s="301"/>
      <c r="H176" s="301"/>
      <c r="I176" s="301"/>
      <c r="J176" s="301"/>
      <c r="K176" s="301"/>
      <c r="L176" s="301"/>
      <c r="M176" s="301"/>
      <c r="N176" s="301"/>
      <c r="O176" s="301"/>
      <c r="P176" s="301"/>
      <c r="Q176" s="301"/>
      <c r="R176" s="301"/>
      <c r="S176" s="301"/>
      <c r="T176" s="301"/>
      <c r="U176" s="301"/>
      <c r="V176" s="301"/>
      <c r="W176" s="301"/>
      <c r="X176" s="301"/>
    </row>
    <row r="177" spans="1:24" ht="12.75">
      <c r="A177" s="301"/>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row>
    <row r="178" spans="1:24" ht="12.75">
      <c r="A178" s="301"/>
      <c r="B178" s="301"/>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row>
    <row r="179" spans="1:24" ht="12.75">
      <c r="A179" s="301"/>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row>
    <row r="180" spans="1:24" ht="12.75">
      <c r="A180" s="301"/>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row>
    <row r="181" spans="1:24" ht="12.75">
      <c r="A181" s="301"/>
      <c r="B181" s="301"/>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row>
    <row r="182" spans="1:24" ht="12.75">
      <c r="A182" s="301"/>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row>
    <row r="183" spans="1:24" ht="12.75">
      <c r="A183" s="301"/>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row>
    <row r="184" spans="1:24" ht="12.75">
      <c r="A184" s="301"/>
      <c r="B184" s="301"/>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row>
    <row r="185" spans="1:24" ht="12.75">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row>
    <row r="186" spans="1:24" ht="12.75">
      <c r="A186" s="301"/>
      <c r="B186" s="301"/>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row>
    <row r="187" spans="1:24" ht="12.75">
      <c r="A187" s="301"/>
      <c r="B187" s="301"/>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row>
    <row r="188" spans="1:24" ht="12.75">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row>
    <row r="189" spans="1:24" ht="12.75">
      <c r="A189" s="301"/>
      <c r="B189" s="301"/>
      <c r="C189" s="301"/>
      <c r="D189" s="301"/>
      <c r="E189" s="301"/>
      <c r="F189" s="301"/>
      <c r="G189" s="301"/>
      <c r="H189" s="301"/>
      <c r="I189" s="301"/>
      <c r="J189" s="301"/>
      <c r="K189" s="301"/>
      <c r="L189" s="301"/>
      <c r="M189" s="301"/>
      <c r="N189" s="301"/>
      <c r="O189" s="301"/>
      <c r="P189" s="301"/>
      <c r="Q189" s="301"/>
      <c r="R189" s="301"/>
      <c r="S189" s="301"/>
      <c r="T189" s="301"/>
      <c r="U189" s="301"/>
      <c r="V189" s="301"/>
      <c r="W189" s="301"/>
      <c r="X189" s="301"/>
    </row>
    <row r="190" spans="1:24" ht="12.75">
      <c r="A190" s="301"/>
      <c r="B190" s="301"/>
      <c r="C190" s="301"/>
      <c r="D190" s="301"/>
      <c r="E190" s="301"/>
      <c r="F190" s="301"/>
      <c r="G190" s="301"/>
      <c r="H190" s="301"/>
      <c r="I190" s="301"/>
      <c r="J190" s="301"/>
      <c r="K190" s="301"/>
      <c r="L190" s="301"/>
      <c r="M190" s="301"/>
      <c r="N190" s="301"/>
      <c r="O190" s="301"/>
      <c r="P190" s="301"/>
      <c r="Q190" s="301"/>
      <c r="R190" s="301"/>
      <c r="S190" s="301"/>
      <c r="T190" s="301"/>
      <c r="U190" s="301"/>
      <c r="V190" s="301"/>
      <c r="W190" s="301"/>
      <c r="X190" s="301"/>
    </row>
    <row r="191" spans="1:24" ht="12.75">
      <c r="A191" s="301"/>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row>
    <row r="192" spans="1:24" ht="12.75">
      <c r="A192" s="301"/>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row>
    <row r="193" spans="1:24" ht="12.75">
      <c r="A193" s="301"/>
      <c r="B193" s="301"/>
      <c r="C193" s="301"/>
      <c r="D193" s="301"/>
      <c r="E193" s="301"/>
      <c r="F193" s="301"/>
      <c r="G193" s="301"/>
      <c r="H193" s="301"/>
      <c r="I193" s="301"/>
      <c r="J193" s="301"/>
      <c r="K193" s="301"/>
      <c r="L193" s="301"/>
      <c r="M193" s="301"/>
      <c r="N193" s="301"/>
      <c r="O193" s="301"/>
      <c r="P193" s="301"/>
      <c r="Q193" s="301"/>
      <c r="R193" s="301"/>
      <c r="S193" s="301"/>
      <c r="T193" s="301"/>
      <c r="U193" s="301"/>
      <c r="V193" s="301"/>
      <c r="W193" s="301"/>
      <c r="X193" s="301"/>
    </row>
    <row r="194" spans="1:24" ht="12.75">
      <c r="A194" s="301"/>
      <c r="B194" s="301"/>
      <c r="C194" s="301"/>
      <c r="D194" s="301"/>
      <c r="E194" s="301"/>
      <c r="F194" s="301"/>
      <c r="G194" s="301"/>
      <c r="H194" s="301"/>
      <c r="I194" s="301"/>
      <c r="J194" s="301"/>
      <c r="K194" s="301"/>
      <c r="L194" s="301"/>
      <c r="M194" s="301"/>
      <c r="N194" s="301"/>
      <c r="O194" s="301"/>
      <c r="P194" s="301"/>
      <c r="Q194" s="301"/>
      <c r="R194" s="301"/>
      <c r="S194" s="301"/>
      <c r="T194" s="301"/>
      <c r="U194" s="301"/>
      <c r="V194" s="301"/>
      <c r="W194" s="301"/>
      <c r="X194" s="301"/>
    </row>
    <row r="195" spans="1:24" ht="12.75">
      <c r="A195" s="301"/>
      <c r="B195" s="301"/>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301"/>
    </row>
    <row r="196" spans="1:24" ht="12.75">
      <c r="A196" s="301"/>
      <c r="B196" s="301"/>
      <c r="C196" s="301"/>
      <c r="D196" s="301"/>
      <c r="E196" s="301"/>
      <c r="F196" s="301"/>
      <c r="G196" s="301"/>
      <c r="H196" s="301"/>
      <c r="I196" s="301"/>
      <c r="J196" s="301"/>
      <c r="K196" s="301"/>
      <c r="L196" s="301"/>
      <c r="M196" s="301"/>
      <c r="N196" s="301"/>
      <c r="O196" s="301"/>
      <c r="P196" s="301"/>
      <c r="Q196" s="301"/>
      <c r="R196" s="301"/>
      <c r="S196" s="301"/>
      <c r="T196" s="301"/>
      <c r="U196" s="301"/>
      <c r="V196" s="301"/>
      <c r="W196" s="301"/>
      <c r="X196" s="301"/>
    </row>
    <row r="197" spans="1:24" ht="12.75">
      <c r="A197" s="301"/>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row>
    <row r="198" spans="1:24" ht="12.75">
      <c r="A198" s="301"/>
      <c r="B198" s="301"/>
      <c r="C198" s="301"/>
      <c r="D198" s="301"/>
      <c r="E198" s="301"/>
      <c r="F198" s="301"/>
      <c r="G198" s="301"/>
      <c r="H198" s="301"/>
      <c r="I198" s="301"/>
      <c r="J198" s="301"/>
      <c r="K198" s="301"/>
      <c r="L198" s="301"/>
      <c r="M198" s="301"/>
      <c r="N198" s="301"/>
      <c r="O198" s="301"/>
      <c r="P198" s="301"/>
      <c r="Q198" s="301"/>
      <c r="R198" s="301"/>
      <c r="S198" s="301"/>
      <c r="T198" s="301"/>
      <c r="U198" s="301"/>
      <c r="V198" s="301"/>
      <c r="W198" s="301"/>
      <c r="X198" s="301"/>
    </row>
    <row r="199" spans="1:24" ht="12.75">
      <c r="A199" s="301"/>
      <c r="B199" s="301"/>
      <c r="C199" s="301"/>
      <c r="D199" s="301"/>
      <c r="E199" s="301"/>
      <c r="F199" s="301"/>
      <c r="G199" s="301"/>
      <c r="H199" s="301"/>
      <c r="I199" s="301"/>
      <c r="J199" s="301"/>
      <c r="K199" s="301"/>
      <c r="L199" s="301"/>
      <c r="M199" s="301"/>
      <c r="N199" s="301"/>
      <c r="O199" s="301"/>
      <c r="P199" s="301"/>
      <c r="Q199" s="301"/>
      <c r="R199" s="301"/>
      <c r="S199" s="301"/>
      <c r="T199" s="301"/>
      <c r="U199" s="301"/>
      <c r="V199" s="301"/>
      <c r="W199" s="301"/>
      <c r="X199" s="301"/>
    </row>
    <row r="200" spans="1:24" ht="12.75">
      <c r="A200" s="301"/>
      <c r="B200" s="301"/>
      <c r="C200" s="301"/>
      <c r="D200" s="301"/>
      <c r="E200" s="301"/>
      <c r="F200" s="301"/>
      <c r="G200" s="301"/>
      <c r="H200" s="301"/>
      <c r="I200" s="301"/>
      <c r="J200" s="301"/>
      <c r="K200" s="301"/>
      <c r="L200" s="301"/>
      <c r="M200" s="301"/>
      <c r="N200" s="301"/>
      <c r="O200" s="301"/>
      <c r="P200" s="301"/>
      <c r="Q200" s="301"/>
      <c r="R200" s="301"/>
      <c r="S200" s="301"/>
      <c r="T200" s="301"/>
      <c r="U200" s="301"/>
      <c r="V200" s="301"/>
      <c r="W200" s="301"/>
      <c r="X200" s="301"/>
    </row>
    <row r="201" spans="1:24" ht="12.75">
      <c r="A201" s="301"/>
      <c r="B201" s="301"/>
      <c r="C201" s="301"/>
      <c r="D201" s="301"/>
      <c r="E201" s="301"/>
      <c r="F201" s="301"/>
      <c r="G201" s="301"/>
      <c r="H201" s="301"/>
      <c r="I201" s="301"/>
      <c r="J201" s="301"/>
      <c r="K201" s="301"/>
      <c r="L201" s="301"/>
      <c r="M201" s="301"/>
      <c r="N201" s="301"/>
      <c r="O201" s="301"/>
      <c r="P201" s="301"/>
      <c r="Q201" s="301"/>
      <c r="R201" s="301"/>
      <c r="S201" s="301"/>
      <c r="T201" s="301"/>
      <c r="U201" s="301"/>
      <c r="V201" s="301"/>
      <c r="W201" s="301"/>
      <c r="X201" s="301"/>
    </row>
    <row r="202" spans="1:24" ht="12.75">
      <c r="A202" s="301"/>
      <c r="B202" s="301"/>
      <c r="C202" s="301"/>
      <c r="D202" s="301"/>
      <c r="E202" s="301"/>
      <c r="F202" s="301"/>
      <c r="G202" s="301"/>
      <c r="H202" s="301"/>
      <c r="I202" s="301"/>
      <c r="J202" s="301"/>
      <c r="K202" s="301"/>
      <c r="L202" s="301"/>
      <c r="M202" s="301"/>
      <c r="N202" s="301"/>
      <c r="O202" s="301"/>
      <c r="P202" s="301"/>
      <c r="Q202" s="301"/>
      <c r="R202" s="301"/>
      <c r="S202" s="301"/>
      <c r="T202" s="301"/>
      <c r="U202" s="301"/>
      <c r="V202" s="301"/>
      <c r="W202" s="301"/>
      <c r="X202" s="301"/>
    </row>
    <row r="203" spans="1:24" ht="12.75">
      <c r="A203" s="301"/>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row>
    <row r="204" spans="1:24" ht="12.75">
      <c r="A204" s="301"/>
      <c r="B204" s="301"/>
      <c r="C204" s="301"/>
      <c r="D204" s="301"/>
      <c r="E204" s="301"/>
      <c r="F204" s="301"/>
      <c r="G204" s="301"/>
      <c r="H204" s="301"/>
      <c r="I204" s="301"/>
      <c r="J204" s="301"/>
      <c r="K204" s="301"/>
      <c r="L204" s="301"/>
      <c r="M204" s="301"/>
      <c r="N204" s="301"/>
      <c r="O204" s="301"/>
      <c r="P204" s="301"/>
      <c r="Q204" s="301"/>
      <c r="R204" s="301"/>
      <c r="S204" s="301"/>
      <c r="T204" s="301"/>
      <c r="U204" s="301"/>
      <c r="V204" s="301"/>
      <c r="W204" s="301"/>
      <c r="X204" s="301"/>
    </row>
    <row r="205" spans="1:24" ht="12.75">
      <c r="A205" s="301"/>
      <c r="B205" s="301"/>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row>
    <row r="206" spans="1:24" ht="12.75">
      <c r="A206" s="301"/>
      <c r="B206" s="301"/>
      <c r="C206" s="301"/>
      <c r="D206" s="301"/>
      <c r="E206" s="301"/>
      <c r="F206" s="301"/>
      <c r="G206" s="301"/>
      <c r="H206" s="301"/>
      <c r="I206" s="301"/>
      <c r="J206" s="301"/>
      <c r="K206" s="301"/>
      <c r="L206" s="301"/>
      <c r="M206" s="301"/>
      <c r="N206" s="301"/>
      <c r="O206" s="301"/>
      <c r="P206" s="301"/>
      <c r="Q206" s="301"/>
      <c r="R206" s="301"/>
      <c r="S206" s="301"/>
      <c r="T206" s="301"/>
      <c r="U206" s="301"/>
      <c r="V206" s="301"/>
      <c r="W206" s="301"/>
      <c r="X206" s="301"/>
    </row>
    <row r="207" spans="1:24" ht="12.75">
      <c r="A207" s="301"/>
      <c r="B207" s="301"/>
      <c r="C207" s="301"/>
      <c r="D207" s="301"/>
      <c r="E207" s="301"/>
      <c r="F207" s="301"/>
      <c r="G207" s="301"/>
      <c r="H207" s="301"/>
      <c r="I207" s="301"/>
      <c r="J207" s="301"/>
      <c r="K207" s="301"/>
      <c r="L207" s="301"/>
      <c r="M207" s="301"/>
      <c r="N207" s="301"/>
      <c r="O207" s="301"/>
      <c r="P207" s="301"/>
      <c r="Q207" s="301"/>
      <c r="R207" s="301"/>
      <c r="S207" s="301"/>
      <c r="T207" s="301"/>
      <c r="U207" s="301"/>
      <c r="V207" s="301"/>
      <c r="W207" s="301"/>
      <c r="X207" s="301"/>
    </row>
    <row r="208" spans="1:24" ht="12.75">
      <c r="A208" s="301"/>
      <c r="B208" s="301"/>
      <c r="C208" s="301"/>
      <c r="D208" s="301"/>
      <c r="E208" s="301"/>
      <c r="F208" s="301"/>
      <c r="G208" s="301"/>
      <c r="H208" s="301"/>
      <c r="I208" s="301"/>
      <c r="J208" s="301"/>
      <c r="K208" s="301"/>
      <c r="L208" s="301"/>
      <c r="M208" s="301"/>
      <c r="N208" s="301"/>
      <c r="O208" s="301"/>
      <c r="P208" s="301"/>
      <c r="Q208" s="301"/>
      <c r="R208" s="301"/>
      <c r="S208" s="301"/>
      <c r="T208" s="301"/>
      <c r="U208" s="301"/>
      <c r="V208" s="301"/>
      <c r="W208" s="301"/>
      <c r="X208" s="301"/>
    </row>
    <row r="209" spans="1:24" ht="12.75">
      <c r="A209" s="301"/>
      <c r="B209" s="301"/>
      <c r="C209" s="301"/>
      <c r="D209" s="301"/>
      <c r="E209" s="301"/>
      <c r="F209" s="301"/>
      <c r="G209" s="301"/>
      <c r="H209" s="301"/>
      <c r="I209" s="301"/>
      <c r="J209" s="301"/>
      <c r="K209" s="301"/>
      <c r="L209" s="301"/>
      <c r="M209" s="301"/>
      <c r="N209" s="301"/>
      <c r="O209" s="301"/>
      <c r="P209" s="301"/>
      <c r="Q209" s="301"/>
      <c r="R209" s="301"/>
      <c r="S209" s="301"/>
      <c r="T209" s="301"/>
      <c r="U209" s="301"/>
      <c r="V209" s="301"/>
      <c r="W209" s="301"/>
      <c r="X209" s="301"/>
    </row>
    <row r="210" spans="1:24" ht="12.75">
      <c r="A210" s="301"/>
      <c r="B210" s="301"/>
      <c r="C210" s="301"/>
      <c r="D210" s="301"/>
      <c r="E210" s="301"/>
      <c r="F210" s="301"/>
      <c r="G210" s="301"/>
      <c r="H210" s="301"/>
      <c r="I210" s="301"/>
      <c r="J210" s="301"/>
      <c r="K210" s="301"/>
      <c r="L210" s="301"/>
      <c r="M210" s="301"/>
      <c r="N210" s="301"/>
      <c r="O210" s="301"/>
      <c r="P210" s="301"/>
      <c r="Q210" s="301"/>
      <c r="R210" s="301"/>
      <c r="S210" s="301"/>
      <c r="T210" s="301"/>
      <c r="U210" s="301"/>
      <c r="V210" s="301"/>
      <c r="W210" s="301"/>
      <c r="X210" s="301"/>
    </row>
    <row r="211" ht="12.75">
      <c r="A211" s="301"/>
    </row>
    <row r="212" ht="12.75">
      <c r="A212" s="301"/>
    </row>
    <row r="213" ht="12.75">
      <c r="A213" s="301"/>
    </row>
    <row r="214" ht="12.75">
      <c r="A214" s="301"/>
    </row>
    <row r="215" ht="12.75">
      <c r="A215" s="301"/>
    </row>
    <row r="216" ht="12.75">
      <c r="A216" s="301"/>
    </row>
    <row r="217" ht="12.75">
      <c r="A217" s="301"/>
    </row>
    <row r="218" ht="12.75">
      <c r="A218" s="301"/>
    </row>
    <row r="219" ht="12.75">
      <c r="A219" s="301"/>
    </row>
    <row r="220" ht="12.75">
      <c r="A220" s="301"/>
    </row>
    <row r="221" ht="12.75">
      <c r="A221" s="301"/>
    </row>
    <row r="222" ht="12.75">
      <c r="A222" s="301"/>
    </row>
    <row r="223" ht="12.75">
      <c r="A223" s="301"/>
    </row>
    <row r="224" ht="12.75">
      <c r="A224" s="301"/>
    </row>
    <row r="225" ht="12.75">
      <c r="A225" s="301"/>
    </row>
    <row r="226" ht="12.75">
      <c r="A226" s="301"/>
    </row>
    <row r="227" ht="12.75">
      <c r="A227" s="301"/>
    </row>
    <row r="228" ht="12.75">
      <c r="A228" s="301"/>
    </row>
    <row r="229" ht="12.75">
      <c r="A229" s="301"/>
    </row>
    <row r="230" ht="12.75">
      <c r="A230" s="301"/>
    </row>
    <row r="231" ht="12.75">
      <c r="A231" s="301"/>
    </row>
    <row r="232" ht="12.75">
      <c r="A232" s="301"/>
    </row>
    <row r="233" ht="12.75">
      <c r="A233" s="301"/>
    </row>
    <row r="234" ht="12.75">
      <c r="A234" s="301"/>
    </row>
    <row r="235" ht="12.75">
      <c r="A235" s="301"/>
    </row>
    <row r="236" ht="12.75">
      <c r="A236" s="301"/>
    </row>
    <row r="237" ht="12.75">
      <c r="A237" s="301"/>
    </row>
    <row r="238" ht="12.75">
      <c r="A238" s="301"/>
    </row>
    <row r="239" ht="12.75">
      <c r="A239" s="301"/>
    </row>
    <row r="240" ht="12.75">
      <c r="A240" s="301"/>
    </row>
    <row r="241" ht="12.75">
      <c r="A241" s="301"/>
    </row>
    <row r="242" ht="12.75">
      <c r="A242" s="301"/>
    </row>
    <row r="243" ht="12.75">
      <c r="A243" s="301"/>
    </row>
    <row r="244" ht="12.75">
      <c r="A244" s="301"/>
    </row>
    <row r="245" ht="12.75">
      <c r="A245" s="301"/>
    </row>
    <row r="246" ht="12.75">
      <c r="A246" s="301"/>
    </row>
    <row r="247" ht="12.75">
      <c r="A247" s="301"/>
    </row>
    <row r="248" ht="12.75">
      <c r="A248" s="301"/>
    </row>
    <row r="249" ht="12.75">
      <c r="A249" s="301"/>
    </row>
    <row r="250" ht="12.75">
      <c r="A250" s="301"/>
    </row>
    <row r="251" ht="12.75">
      <c r="A251" s="301"/>
    </row>
    <row r="252" ht="12.75">
      <c r="A252" s="301"/>
    </row>
    <row r="253" ht="12.75">
      <c r="A253" s="301"/>
    </row>
    <row r="254" ht="12.75">
      <c r="A254" s="301"/>
    </row>
    <row r="255" ht="12.75">
      <c r="A255" s="301"/>
    </row>
    <row r="256" ht="12.75">
      <c r="A256" s="301"/>
    </row>
    <row r="257" ht="12.75">
      <c r="A257" s="301"/>
    </row>
    <row r="258" ht="12.75">
      <c r="A258" s="301"/>
    </row>
    <row r="259" ht="12.75">
      <c r="A259" s="301"/>
    </row>
    <row r="260" ht="12.75">
      <c r="A260" s="301"/>
    </row>
  </sheetData>
  <mergeCells count="1">
    <mergeCell ref="C2:E2"/>
  </mergeCells>
  <printOptions/>
  <pageMargins left="0.75" right="0.75" top="1" bottom="1" header="0.5" footer="0.5"/>
  <pageSetup fitToHeight="1" fitToWidth="1" horizontalDpi="600" verticalDpi="600" orientation="portrait" scale="77" r:id="rId1"/>
  <headerFooter alignWithMargins="0">
    <oddHeader>&amp;CTotal Cost of Application Ownership (TCA) Calculator</oddHeader>
    <oddFooter>&amp;LThe Tolly Group TCA Calculator
&amp;P&amp;D&amp;T&amp;R© The Tolly Group, 1999</oddFooter>
  </headerFooter>
</worksheet>
</file>

<file path=xl/worksheets/sheet15.xml><?xml version="1.0" encoding="utf-8"?>
<worksheet xmlns="http://schemas.openxmlformats.org/spreadsheetml/2006/main" xmlns:r="http://schemas.openxmlformats.org/officeDocument/2006/relationships">
  <sheetPr codeName="Sheet3">
    <pageSetUpPr fitToPage="1"/>
  </sheetPr>
  <dimension ref="A1:AD200"/>
  <sheetViews>
    <sheetView showRowColHeaders="0" workbookViewId="0" topLeftCell="A1">
      <selection activeCell="A1" sqref="A1"/>
    </sheetView>
  </sheetViews>
  <sheetFormatPr defaultColWidth="9.140625" defaultRowHeight="12.75"/>
  <cols>
    <col min="2" max="2" width="35.421875" style="0" customWidth="1"/>
    <col min="3" max="5" width="20.7109375" style="0" customWidth="1"/>
    <col min="6" max="6" width="9.28125" style="0" customWidth="1"/>
  </cols>
  <sheetData>
    <row r="1" spans="1:30" ht="12.75">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row>
    <row r="2" spans="1:30" ht="12.75" customHeight="1">
      <c r="A2" s="301"/>
      <c r="B2" s="193" t="s">
        <v>521</v>
      </c>
      <c r="C2" s="365" t="s">
        <v>530</v>
      </c>
      <c r="D2" s="366"/>
      <c r="E2" s="367"/>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row>
    <row r="3" spans="1:30" ht="51.75" customHeight="1">
      <c r="A3" s="301"/>
      <c r="B3" s="194"/>
      <c r="C3" s="199" t="s">
        <v>526</v>
      </c>
      <c r="D3" s="200" t="s">
        <v>522</v>
      </c>
      <c r="E3" s="201" t="s">
        <v>523</v>
      </c>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row>
    <row r="4" spans="1:30" ht="15.75" thickBot="1">
      <c r="A4" s="301"/>
      <c r="B4" s="196" t="s">
        <v>148</v>
      </c>
      <c r="C4" s="202"/>
      <c r="D4" s="203"/>
      <c r="E4" s="204"/>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row>
    <row r="5" spans="1:30" ht="15" thickTop="1">
      <c r="A5" s="301"/>
      <c r="B5" s="195" t="s">
        <v>43</v>
      </c>
      <c r="C5" s="205">
        <f>'Fat-Application Development'!G32/'Front End'!G3</f>
        <v>12.792884615384615</v>
      </c>
      <c r="D5" s="206">
        <v>12.7928846</v>
      </c>
      <c r="E5" s="207">
        <f>'Citrix Application Development'!F32/'Front End'!G3</f>
        <v>12.792884615384615</v>
      </c>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row>
    <row r="6" spans="1:30" ht="14.25">
      <c r="A6" s="301"/>
      <c r="B6" s="195" t="s">
        <v>61</v>
      </c>
      <c r="C6" s="208">
        <f>'Fat-Client Software Acquisition'!H29/'Front End'!G3</f>
        <v>431</v>
      </c>
      <c r="D6" s="209">
        <v>431</v>
      </c>
      <c r="E6" s="210">
        <f>'Citrix Client Soft. Acquisition'!H29/'Front End'!G3</f>
        <v>242</v>
      </c>
      <c r="F6" s="301"/>
      <c r="G6" s="319"/>
      <c r="H6" s="301"/>
      <c r="I6" s="301"/>
      <c r="J6" s="301"/>
      <c r="K6" s="301"/>
      <c r="L6" s="301"/>
      <c r="M6" s="301"/>
      <c r="N6" s="301"/>
      <c r="O6" s="301"/>
      <c r="P6" s="301"/>
      <c r="Q6" s="301"/>
      <c r="R6" s="301"/>
      <c r="S6" s="301"/>
      <c r="T6" s="301"/>
      <c r="U6" s="301"/>
      <c r="V6" s="301"/>
      <c r="W6" s="301"/>
      <c r="X6" s="301"/>
      <c r="Y6" s="301"/>
      <c r="Z6" s="301"/>
      <c r="AA6" s="301"/>
      <c r="AB6" s="301"/>
      <c r="AC6" s="301"/>
      <c r="AD6" s="301"/>
    </row>
    <row r="7" spans="1:30" ht="14.25">
      <c r="A7" s="301"/>
      <c r="B7" s="195" t="s">
        <v>74</v>
      </c>
      <c r="C7" s="208">
        <f>'Fat-Server Software Acquisition'!H33/'Front End'!G3</f>
        <v>153.6312</v>
      </c>
      <c r="D7" s="209">
        <v>154.4664</v>
      </c>
      <c r="E7" s="210">
        <f>'Citrix Server Soft. Acquisition'!H33/'Front End'!G3</f>
        <v>523.9344615384615</v>
      </c>
      <c r="F7" s="301"/>
      <c r="G7" s="319"/>
      <c r="H7" s="301"/>
      <c r="I7" s="301"/>
      <c r="J7" s="301"/>
      <c r="K7" s="301"/>
      <c r="L7" s="301"/>
      <c r="M7" s="301"/>
      <c r="N7" s="301"/>
      <c r="O7" s="301"/>
      <c r="P7" s="301"/>
      <c r="Q7" s="301"/>
      <c r="R7" s="301"/>
      <c r="S7" s="301"/>
      <c r="T7" s="301"/>
      <c r="U7" s="301"/>
      <c r="V7" s="301"/>
      <c r="W7" s="301"/>
      <c r="X7" s="301"/>
      <c r="Y7" s="301"/>
      <c r="Z7" s="301"/>
      <c r="AA7" s="301"/>
      <c r="AB7" s="301"/>
      <c r="AC7" s="301"/>
      <c r="AD7" s="301"/>
    </row>
    <row r="8" spans="1:30" ht="14.25">
      <c r="A8" s="301"/>
      <c r="B8" s="195" t="s">
        <v>149</v>
      </c>
      <c r="C8" s="208">
        <f>'Fat-Application Integration'!G18/'Front End'!G3</f>
        <v>1.9591009615384618</v>
      </c>
      <c r="D8" s="209">
        <v>3.64398076</v>
      </c>
      <c r="E8" s="210">
        <f>'Citrix Application Integration'!G18/'Front End'!G3</f>
        <v>1.0274615384615384</v>
      </c>
      <c r="F8" s="301"/>
      <c r="G8" s="319"/>
      <c r="H8" s="301"/>
      <c r="I8" s="301"/>
      <c r="J8" s="301"/>
      <c r="K8" s="301"/>
      <c r="L8" s="301"/>
      <c r="M8" s="301"/>
      <c r="N8" s="301"/>
      <c r="O8" s="301"/>
      <c r="P8" s="301"/>
      <c r="Q8" s="301"/>
      <c r="R8" s="301"/>
      <c r="S8" s="301"/>
      <c r="T8" s="301"/>
      <c r="U8" s="301"/>
      <c r="V8" s="301"/>
      <c r="W8" s="301"/>
      <c r="X8" s="301"/>
      <c r="Y8" s="301"/>
      <c r="Z8" s="301"/>
      <c r="AA8" s="301"/>
      <c r="AB8" s="301"/>
      <c r="AC8" s="301"/>
      <c r="AD8" s="301"/>
    </row>
    <row r="9" spans="1:30" ht="14.25">
      <c r="A9" s="301"/>
      <c r="B9" s="195" t="s">
        <v>98</v>
      </c>
      <c r="C9" s="208">
        <f>'Fat-Application Installation'!G17</f>
        <v>63.89</v>
      </c>
      <c r="D9" s="209">
        <v>27.38</v>
      </c>
      <c r="E9" s="210">
        <f>'Citrix Application Installation'!G17</f>
        <v>0</v>
      </c>
      <c r="F9" s="301"/>
      <c r="G9" s="319"/>
      <c r="H9" s="301"/>
      <c r="I9" s="301"/>
      <c r="J9" s="301"/>
      <c r="K9" s="301"/>
      <c r="L9" s="301"/>
      <c r="M9" s="301"/>
      <c r="N9" s="301"/>
      <c r="O9" s="301"/>
      <c r="P9" s="301"/>
      <c r="Q9" s="301"/>
      <c r="R9" s="301"/>
      <c r="S9" s="301"/>
      <c r="T9" s="301"/>
      <c r="U9" s="301"/>
      <c r="V9" s="301"/>
      <c r="W9" s="301"/>
      <c r="X9" s="301"/>
      <c r="Y9" s="301"/>
      <c r="Z9" s="301"/>
      <c r="AA9" s="301"/>
      <c r="AB9" s="301"/>
      <c r="AC9" s="301"/>
      <c r="AD9" s="301"/>
    </row>
    <row r="10" spans="1:30" ht="14.25">
      <c r="A10" s="301"/>
      <c r="B10" s="195" t="s">
        <v>99</v>
      </c>
      <c r="C10" s="208">
        <f>'Fat-Application Training'!G40/'Front End'!G3</f>
        <v>1605.4190769230768</v>
      </c>
      <c r="D10" s="209">
        <v>1605.41907692</v>
      </c>
      <c r="E10" s="210">
        <f>'Citrix Application Training'!G40/'Front End'!G3</f>
        <v>1605.4190769230768</v>
      </c>
      <c r="F10" s="301"/>
      <c r="G10" s="319"/>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row>
    <row r="11" spans="1:30" ht="14.25">
      <c r="A11" s="301"/>
      <c r="B11" s="195" t="s">
        <v>100</v>
      </c>
      <c r="C11" s="208">
        <f>'Fat-Hardware Procurement'!H81/'Front End'!G3</f>
        <v>690.952</v>
      </c>
      <c r="D11" s="209">
        <v>706.52</v>
      </c>
      <c r="E11" s="210">
        <f>'Citrix Hardware Procurement'!H81/'Front End'!G3</f>
        <v>974.7686153846154</v>
      </c>
      <c r="F11" s="301"/>
      <c r="G11" s="319"/>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row>
    <row r="12" spans="1:30" ht="15" thickBot="1">
      <c r="A12" s="301"/>
      <c r="B12" s="197" t="s">
        <v>524</v>
      </c>
      <c r="C12" s="211">
        <f>'Calculation Sheet'!I14</f>
        <v>144</v>
      </c>
      <c r="D12" s="239">
        <v>1202.4</v>
      </c>
      <c r="E12" s="213">
        <f>'Calculation Sheet'!K14</f>
        <v>204.48</v>
      </c>
      <c r="F12" s="301"/>
      <c r="G12" s="320"/>
      <c r="H12" s="321"/>
      <c r="I12" s="321"/>
      <c r="J12" s="301"/>
      <c r="K12" s="301"/>
      <c r="L12" s="301"/>
      <c r="M12" s="301"/>
      <c r="N12" s="301"/>
      <c r="O12" s="301"/>
      <c r="P12" s="301"/>
      <c r="Q12" s="301"/>
      <c r="R12" s="301"/>
      <c r="S12" s="301"/>
      <c r="T12" s="301"/>
      <c r="U12" s="301"/>
      <c r="V12" s="301"/>
      <c r="W12" s="301"/>
      <c r="X12" s="301"/>
      <c r="Y12" s="301"/>
      <c r="Z12" s="301"/>
      <c r="AA12" s="301"/>
      <c r="AB12" s="301"/>
      <c r="AC12" s="301"/>
      <c r="AD12" s="301"/>
    </row>
    <row r="13" spans="1:30" ht="15" thickTop="1">
      <c r="A13" s="301"/>
      <c r="B13" s="324" t="s">
        <v>560</v>
      </c>
      <c r="C13" s="337">
        <f>SUM(C5:C12)</f>
        <v>3103.6442625</v>
      </c>
      <c r="D13" s="326">
        <f>SUM(D5:D12)</f>
        <v>4143.622342279999</v>
      </c>
      <c r="E13" s="327">
        <f>SUM(E5:E12)</f>
        <v>3564.4224999999997</v>
      </c>
      <c r="F13" s="301"/>
      <c r="G13" s="322"/>
      <c r="H13" s="323"/>
      <c r="I13" s="323"/>
      <c r="J13" s="301"/>
      <c r="K13" s="301"/>
      <c r="L13" s="301"/>
      <c r="M13" s="301"/>
      <c r="N13" s="301"/>
      <c r="O13" s="301"/>
      <c r="P13" s="301"/>
      <c r="Q13" s="301"/>
      <c r="R13" s="301"/>
      <c r="S13" s="301"/>
      <c r="T13" s="301"/>
      <c r="U13" s="301"/>
      <c r="V13" s="301"/>
      <c r="W13" s="301"/>
      <c r="X13" s="301"/>
      <c r="Y13" s="301"/>
      <c r="Z13" s="301"/>
      <c r="AA13" s="301"/>
      <c r="AB13" s="301"/>
      <c r="AC13" s="301"/>
      <c r="AD13" s="301"/>
    </row>
    <row r="14" spans="1:30" ht="14.25">
      <c r="A14" s="301"/>
      <c r="B14" s="195"/>
      <c r="C14" s="208"/>
      <c r="D14" s="209"/>
      <c r="E14" s="210"/>
      <c r="F14" s="301"/>
      <c r="G14" s="319"/>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row>
    <row r="15" spans="1:30" ht="15" thickBot="1">
      <c r="A15" s="301"/>
      <c r="B15" s="198" t="s">
        <v>597</v>
      </c>
      <c r="C15" s="208"/>
      <c r="D15" s="209"/>
      <c r="E15" s="210"/>
      <c r="F15" s="301"/>
      <c r="G15" s="319"/>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row>
    <row r="16" spans="1:30" ht="15" thickTop="1">
      <c r="A16" s="301"/>
      <c r="B16" s="195" t="s">
        <v>336</v>
      </c>
      <c r="C16" s="208">
        <f>'Calculation Sheet'!I18</f>
        <v>218.8088</v>
      </c>
      <c r="D16" s="240">
        <v>1189.16</v>
      </c>
      <c r="E16" s="210">
        <f>'Calculation Sheet'!K18</f>
        <v>249.9308</v>
      </c>
      <c r="F16" s="301"/>
      <c r="G16" s="319"/>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row>
    <row r="17" spans="1:30" ht="14.25">
      <c r="A17" s="301"/>
      <c r="B17" s="195" t="s">
        <v>323</v>
      </c>
      <c r="C17" s="208">
        <f>'Calculation Sheet'!I2/'Front End'!G3</f>
        <v>165</v>
      </c>
      <c r="D17" s="209">
        <v>165</v>
      </c>
      <c r="E17" s="210">
        <f>'Calculation Sheet'!I4/'Front End'!G3</f>
        <v>165</v>
      </c>
      <c r="F17" s="301"/>
      <c r="G17" s="319"/>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row>
    <row r="18" spans="1:30" ht="14.25">
      <c r="A18" s="301"/>
      <c r="B18" s="195" t="s">
        <v>127</v>
      </c>
      <c r="C18" s="208">
        <f>'Fat-Application Maintenance'!G20</f>
        <v>1876.27</v>
      </c>
      <c r="D18" s="209">
        <v>1547.67</v>
      </c>
      <c r="E18" s="210">
        <f>'Citrix Application Maintenance'!G20</f>
        <v>1219.07</v>
      </c>
      <c r="F18" s="301"/>
      <c r="G18" s="319"/>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row>
    <row r="19" spans="1:30" ht="14.25">
      <c r="A19" s="301"/>
      <c r="B19" s="195" t="s">
        <v>132</v>
      </c>
      <c r="C19" s="208">
        <f>'Fat-Server Operations'!F14/'Front End'!G3</f>
        <v>24.274442307692308</v>
      </c>
      <c r="D19" s="209">
        <v>25.83207692</v>
      </c>
      <c r="E19" s="210">
        <f>'Citrix Server Operations'!F14/'Front End'!G3</f>
        <v>52.671319526627215</v>
      </c>
      <c r="F19" s="301"/>
      <c r="G19" s="319"/>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row>
    <row r="20" spans="1:30" ht="14.25">
      <c r="A20" s="301"/>
      <c r="B20" s="195" t="s">
        <v>44</v>
      </c>
      <c r="C20" s="208">
        <f>'Calculation Sheet'!B71/'Front End'!G3</f>
        <v>1330.8127974683543</v>
      </c>
      <c r="D20" s="209">
        <v>734.290519</v>
      </c>
      <c r="E20" s="210">
        <f>'Calculation Sheet'!B73/'Front End'!G3</f>
        <v>436.0293797468354</v>
      </c>
      <c r="F20" s="301"/>
      <c r="G20" s="319"/>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row>
    <row r="21" spans="1:30" ht="14.25">
      <c r="A21" s="301"/>
      <c r="B21" s="195" t="s">
        <v>141</v>
      </c>
      <c r="C21" s="208">
        <f>'Fat-Loss of Productivity'!F31/'Front End'!G3</f>
        <v>4056.5</v>
      </c>
      <c r="D21" s="209">
        <v>2036.363</v>
      </c>
      <c r="E21" s="210">
        <f>'Citrix Loss of Productivity'!F31/'Front End'!G3</f>
        <v>1225.063</v>
      </c>
      <c r="F21" s="301"/>
      <c r="G21" s="319"/>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row>
    <row r="22" spans="1:30" ht="15" thickBot="1">
      <c r="A22" s="301"/>
      <c r="B22" s="197" t="s">
        <v>152</v>
      </c>
      <c r="C22" s="211">
        <f>'Building Infrastructure'!F19/'Front End'!G3</f>
        <v>116.56</v>
      </c>
      <c r="D22" s="212">
        <v>116.56</v>
      </c>
      <c r="E22" s="213">
        <f>'Building Infrastructure'!F19/'Front End'!G3</f>
        <v>116.56</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row>
    <row r="23" spans="1:30" ht="15" thickTop="1">
      <c r="A23" s="301"/>
      <c r="B23" s="324" t="s">
        <v>561</v>
      </c>
      <c r="C23" s="325">
        <f>SUM(C16:C22)</f>
        <v>7788.226039776047</v>
      </c>
      <c r="D23" s="326">
        <f>SUM(D16:D22)</f>
        <v>5814.875595920001</v>
      </c>
      <c r="E23" s="327">
        <f>SUM(E16:E22)</f>
        <v>3464.3244992734626</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row>
    <row r="24" spans="1:30" ht="14.25">
      <c r="A24" s="301"/>
      <c r="B24" s="195"/>
      <c r="C24" s="208"/>
      <c r="D24" s="209"/>
      <c r="E24" s="210"/>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row>
    <row r="25" spans="1:30" ht="15" thickBot="1">
      <c r="A25" s="301"/>
      <c r="B25" s="198" t="s">
        <v>598</v>
      </c>
      <c r="C25" s="208"/>
      <c r="D25" s="209"/>
      <c r="E25" s="210"/>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row>
    <row r="26" spans="1:30" ht="15.75" thickBot="1" thickTop="1">
      <c r="A26" s="301"/>
      <c r="B26" s="197" t="s">
        <v>601</v>
      </c>
      <c r="C26" s="211">
        <f>SUM('Fat-Hardware Procurement'!H16,'Fat-Hardware Procurement'!H29,'Fat-Hardware Procurement'!H40)/'Front End'!G3</f>
        <v>514.352</v>
      </c>
      <c r="D26" s="212">
        <v>529.92</v>
      </c>
      <c r="E26" s="213">
        <f>SUM('Citrix Hardware Procurement'!H16,'Citrix Hardware Procurement'!H29,'Citrix Hardware Procurement'!H40)/'Front End'!G3</f>
        <v>798.1686153846154</v>
      </c>
      <c r="F26" s="342"/>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row>
    <row r="27" spans="1:30" ht="15" thickTop="1">
      <c r="A27" s="301"/>
      <c r="B27" s="324" t="s">
        <v>562</v>
      </c>
      <c r="C27" s="325">
        <f>SUM(C26)</f>
        <v>514.352</v>
      </c>
      <c r="D27" s="326">
        <f>SUM(D26)</f>
        <v>529.92</v>
      </c>
      <c r="E27" s="327">
        <f>SUM(E26)</f>
        <v>798.1686153846154</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row>
    <row r="28" spans="1:30" ht="14.25">
      <c r="A28" s="301"/>
      <c r="B28" s="195"/>
      <c r="C28" s="208"/>
      <c r="D28" s="209"/>
      <c r="E28" s="21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row>
    <row r="29" spans="1:30" ht="15">
      <c r="A29" s="301"/>
      <c r="B29" s="328" t="s">
        <v>313</v>
      </c>
      <c r="C29" s="329">
        <v>10891.870302276047</v>
      </c>
      <c r="D29" s="330">
        <v>9958.4979382</v>
      </c>
      <c r="E29" s="331">
        <v>7028.746999273462</v>
      </c>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row>
    <row r="30" spans="1:30" ht="15">
      <c r="A30" s="301"/>
      <c r="B30" s="332" t="s">
        <v>317</v>
      </c>
      <c r="C30" s="329">
        <f>C29+C23</f>
        <v>18680.096342052093</v>
      </c>
      <c r="D30" s="330">
        <f>D29+D23</f>
        <v>15773.37353412</v>
      </c>
      <c r="E30" s="331">
        <f>E29+E23</f>
        <v>10493.071498546924</v>
      </c>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row>
    <row r="31" spans="1:30" ht="15">
      <c r="A31" s="301"/>
      <c r="B31" s="333" t="s">
        <v>318</v>
      </c>
      <c r="C31" s="334">
        <f>C23*2+C30+C27</f>
        <v>34770.90042160419</v>
      </c>
      <c r="D31" s="335">
        <f>D23*2+D27+D30</f>
        <v>27933.044725960004</v>
      </c>
      <c r="E31" s="336">
        <f>E23*2+E27+E30</f>
        <v>18219.889112478464</v>
      </c>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row>
    <row r="32" spans="1:30" ht="13.5" thickBot="1">
      <c r="A32" s="30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row>
    <row r="33" spans="1:30" ht="13.5" thickTop="1">
      <c r="A33" s="301"/>
      <c r="B33" s="220" t="s">
        <v>280</v>
      </c>
      <c r="C33" s="223" t="s">
        <v>334</v>
      </c>
      <c r="D33" s="227" t="str">
        <f>'Calculation Sheet'!J75</f>
        <v>Server</v>
      </c>
      <c r="E33" s="232" t="s">
        <v>12</v>
      </c>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row>
    <row r="34" spans="1:30" ht="12.75">
      <c r="A34" s="301"/>
      <c r="B34" s="221" t="s">
        <v>574</v>
      </c>
      <c r="C34" s="224" t="s">
        <v>334</v>
      </c>
      <c r="D34" s="228" t="str">
        <f>'Calculation Sheet'!J76</f>
        <v>Client</v>
      </c>
      <c r="E34" s="233" t="s">
        <v>12</v>
      </c>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row>
    <row r="35" spans="1:30" ht="12.75">
      <c r="A35" s="301"/>
      <c r="B35" s="221" t="s">
        <v>281</v>
      </c>
      <c r="C35" s="224" t="s">
        <v>334</v>
      </c>
      <c r="D35" s="229" t="str">
        <f>'Calculation Sheet'!J77</f>
        <v>Client</v>
      </c>
      <c r="E35" s="233" t="s">
        <v>12</v>
      </c>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row>
    <row r="36" spans="1:30" ht="12.75">
      <c r="A36" s="301"/>
      <c r="B36" s="221" t="s">
        <v>599</v>
      </c>
      <c r="C36" s="225">
        <f>'Front End'!G3</f>
        <v>2500</v>
      </c>
      <c r="D36" s="230">
        <f>'Front End'!G3</f>
        <v>2500</v>
      </c>
      <c r="E36" s="234">
        <f>'Front End'!G3</f>
        <v>2500</v>
      </c>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row>
    <row r="37" spans="1:30" ht="23.25" customHeight="1" thickBot="1">
      <c r="A37" s="301"/>
      <c r="B37" s="348" t="s">
        <v>602</v>
      </c>
      <c r="C37" s="226">
        <f>'Front End'!G7+'Front End'!G33</f>
        <v>1050</v>
      </c>
      <c r="D37" s="231">
        <f>'Front End'!G7+'Front End'!G33</f>
        <v>1050</v>
      </c>
      <c r="E37" s="235">
        <f>'Front End'!G7+'Front End'!G33</f>
        <v>1050</v>
      </c>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row>
    <row r="38" spans="1:30" ht="13.5" thickTop="1">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row>
    <row r="39" spans="1:30" ht="12.75">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row>
    <row r="40" spans="1:30" ht="12.75">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row>
    <row r="41" spans="1:30" ht="12.75">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row>
    <row r="42" spans="1:30" ht="12.75">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row>
    <row r="43" spans="1:30" ht="12.75">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row>
    <row r="44" spans="1:30" ht="12.75">
      <c r="A44" s="30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row>
    <row r="45" spans="1:30" ht="12.75">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row>
    <row r="46" spans="1:30" ht="12.7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row>
    <row r="47" spans="1:30" ht="12.75">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row>
    <row r="48" spans="1:30" ht="12.75">
      <c r="A48" s="301"/>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row>
    <row r="49" spans="1:30" ht="12.75">
      <c r="A49" s="301"/>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row>
    <row r="50" spans="1:30" ht="12.75">
      <c r="A50" s="301"/>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row>
    <row r="51" spans="1:30" ht="12.75">
      <c r="A51" s="301"/>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row>
    <row r="52" spans="1:30" ht="12.75">
      <c r="A52" s="301"/>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row>
    <row r="53" spans="1:30" ht="12.75">
      <c r="A53" s="301"/>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row>
    <row r="54" spans="1:30" ht="12.75">
      <c r="A54" s="301"/>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row>
    <row r="55" spans="1:30" ht="12.75">
      <c r="A55" s="301"/>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row>
    <row r="56" spans="1:30" ht="12.75">
      <c r="A56" s="301"/>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row>
    <row r="57" spans="1:30" ht="12.75">
      <c r="A57" s="301"/>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row>
    <row r="58" spans="1:30" ht="12.75">
      <c r="A58" s="301"/>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row>
    <row r="59" spans="1:30" ht="12.75">
      <c r="A59" s="301"/>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row>
    <row r="60" spans="1:30" ht="12.75">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row>
    <row r="61" spans="1:30" ht="12.75">
      <c r="A61" s="30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row>
    <row r="62" spans="1:30" ht="12.75">
      <c r="A62" s="301"/>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row>
    <row r="63" spans="1:30" ht="12.75">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row>
    <row r="64" spans="1:30" ht="12.75">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row>
    <row r="65" spans="1:30" ht="12.75">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row>
    <row r="66" spans="1:30" ht="12.75">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row>
    <row r="67" spans="1:30" ht="12.75">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row>
    <row r="68" spans="1:30" ht="12.75">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row>
    <row r="69" spans="1:30" ht="12.75">
      <c r="A69" s="301"/>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row>
    <row r="70" spans="1:30" ht="12.75">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row>
    <row r="71" spans="1:30" ht="12.75">
      <c r="A71" s="301"/>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row>
    <row r="72" spans="1:30" ht="12.75">
      <c r="A72" s="301"/>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row>
    <row r="73" spans="1:30" ht="12.75">
      <c r="A73" s="301"/>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row>
    <row r="74" spans="1:30" ht="12.75">
      <c r="A74" s="301"/>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row>
    <row r="75" spans="1:30" ht="12.75">
      <c r="A75" s="301"/>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row>
    <row r="76" spans="1:30" ht="12.75">
      <c r="A76" s="301"/>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row>
    <row r="77" spans="1:30" ht="12.75">
      <c r="A77" s="301"/>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row>
    <row r="78" spans="1:30" ht="12.75">
      <c r="A78" s="301"/>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row>
    <row r="79" spans="1:30" ht="12.75">
      <c r="A79" s="301"/>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row>
    <row r="80" spans="1:30" ht="12.75">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row>
    <row r="81" spans="1:30" ht="12.75">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row>
    <row r="82" spans="1:30" ht="12.75">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row>
    <row r="83" spans="1:30" ht="12.75">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row>
    <row r="84" spans="1:30" ht="12.7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row>
    <row r="85" spans="1:30" ht="12.75">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row>
    <row r="86" spans="1:30" ht="12.75">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row>
    <row r="87" spans="1:30" ht="12.75">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row>
    <row r="88" spans="1:30" ht="12.75">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row>
    <row r="89" spans="1:30" ht="12.7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row>
    <row r="90" spans="1:30" ht="12.7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row>
    <row r="91" spans="1:30" ht="12.75">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row>
    <row r="92" spans="1:30" ht="12.75">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row>
    <row r="93" spans="1:30" ht="12.75">
      <c r="A93" s="301"/>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row>
    <row r="94" spans="1:30" ht="12.75">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row>
    <row r="95" spans="1:30" ht="12.75">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row>
    <row r="96" spans="1:30" ht="12.75">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row>
    <row r="97" spans="1:30" ht="12.75">
      <c r="A97" s="301"/>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row>
    <row r="98" spans="1:30" ht="12.75">
      <c r="A98" s="301"/>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row>
    <row r="99" spans="1:30" ht="12.75">
      <c r="A99" s="301"/>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row>
    <row r="100" spans="1:30" ht="12.75">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row>
    <row r="101" spans="1:30" ht="12.75">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row>
    <row r="102" spans="1:30" ht="12.75">
      <c r="A102" s="301"/>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row>
    <row r="103" spans="1:30" ht="12.75">
      <c r="A103" s="301"/>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row>
    <row r="104" spans="1:30" ht="12.75">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row>
    <row r="105" spans="1:30" ht="12.75">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row>
    <row r="106" spans="1:30" ht="12.75">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row>
    <row r="107" spans="1:30" ht="12.75">
      <c r="A107" s="301"/>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row>
    <row r="108" spans="1:30" ht="12.75">
      <c r="A108" s="301"/>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row>
    <row r="109" spans="1:30" ht="12.75">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row>
    <row r="110" spans="1:30" ht="12.75">
      <c r="A110" s="301"/>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row>
    <row r="111" spans="1:30" ht="12.75">
      <c r="A111" s="301"/>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row>
    <row r="112" spans="1:30" ht="12.75">
      <c r="A112" s="301"/>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301"/>
    </row>
    <row r="113" spans="1:30" ht="12.75">
      <c r="A113" s="301"/>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row>
    <row r="114" spans="1:30" ht="12.75">
      <c r="A114" s="301"/>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row>
    <row r="115" spans="1:30" ht="12.75">
      <c r="A115" s="301"/>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row>
    <row r="116" spans="1:30" ht="12.75">
      <c r="A116" s="301"/>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row>
    <row r="117" spans="1:30" ht="12.75">
      <c r="A117" s="301"/>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row>
    <row r="118" spans="1:30" ht="12.75">
      <c r="A118" s="301"/>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1"/>
      <c r="AD118" s="301"/>
    </row>
    <row r="119" spans="1:30" ht="12.75">
      <c r="A119" s="301"/>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row>
    <row r="120" spans="1:30" ht="12.75">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row>
    <row r="121" spans="1:30" ht="12.75">
      <c r="A121" s="301"/>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row>
    <row r="122" spans="1:30" ht="12.75">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row>
    <row r="123" spans="1:30" ht="12.75">
      <c r="A123" s="301"/>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row>
    <row r="124" spans="1:30" ht="12.75">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row>
    <row r="125" spans="1:30" ht="12.75">
      <c r="A125" s="30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row>
    <row r="126" spans="1:30" ht="12.75">
      <c r="A126" s="301"/>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row>
    <row r="127" spans="1:30" ht="12.75">
      <c r="A127" s="301"/>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row>
    <row r="128" spans="1:30" ht="12.75">
      <c r="A128" s="301"/>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1"/>
      <c r="AD128" s="301"/>
    </row>
    <row r="129" spans="1:30" ht="12.75">
      <c r="A129" s="301"/>
      <c r="B129" s="301"/>
      <c r="C129" s="301"/>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1"/>
      <c r="AD129" s="301"/>
    </row>
    <row r="130" spans="1:30" ht="12.75">
      <c r="A130" s="301"/>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row>
    <row r="131" spans="1:30" ht="12.75">
      <c r="A131" s="301"/>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row>
    <row r="132" spans="1:30" ht="12.75">
      <c r="A132" s="301"/>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row>
    <row r="133" spans="1:30" ht="12.75">
      <c r="A133" s="301"/>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row>
    <row r="134" spans="1:30" ht="12.75">
      <c r="A134" s="301"/>
      <c r="B134" s="301"/>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row>
    <row r="135" spans="1:30" ht="12.75">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row>
    <row r="136" spans="1:30" ht="12.75">
      <c r="A136" s="301"/>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c r="AD136" s="301"/>
    </row>
    <row r="137" spans="1:30" ht="12.75">
      <c r="A137" s="301"/>
      <c r="B137" s="301"/>
      <c r="C137" s="301"/>
      <c r="D137" s="301"/>
      <c r="E137" s="301"/>
      <c r="F137" s="301"/>
      <c r="G137" s="301"/>
      <c r="H137" s="301"/>
      <c r="I137" s="301"/>
      <c r="J137" s="301"/>
      <c r="K137" s="301"/>
      <c r="L137" s="301"/>
      <c r="M137" s="301"/>
      <c r="N137" s="301"/>
      <c r="O137" s="301"/>
      <c r="P137" s="301"/>
      <c r="Q137" s="301"/>
      <c r="R137" s="301"/>
      <c r="S137" s="301"/>
      <c r="T137" s="301"/>
      <c r="U137" s="301"/>
      <c r="V137" s="301"/>
      <c r="W137" s="301"/>
      <c r="X137" s="301"/>
      <c r="Y137" s="301"/>
      <c r="Z137" s="301"/>
      <c r="AA137" s="301"/>
      <c r="AB137" s="301"/>
      <c r="AC137" s="301"/>
      <c r="AD137" s="301"/>
    </row>
    <row r="138" spans="1:30" ht="12.75">
      <c r="A138" s="301"/>
      <c r="B138" s="301"/>
      <c r="C138" s="301"/>
      <c r="D138" s="301"/>
      <c r="E138" s="301"/>
      <c r="F138" s="301"/>
      <c r="G138" s="301"/>
      <c r="H138" s="301"/>
      <c r="I138" s="301"/>
      <c r="J138" s="301"/>
      <c r="K138" s="301"/>
      <c r="L138" s="301"/>
      <c r="M138" s="301"/>
      <c r="N138" s="301"/>
      <c r="O138" s="301"/>
      <c r="P138" s="301"/>
      <c r="Q138" s="301"/>
      <c r="R138" s="301"/>
      <c r="S138" s="301"/>
      <c r="T138" s="301"/>
      <c r="U138" s="301"/>
      <c r="V138" s="301"/>
      <c r="W138" s="301"/>
      <c r="X138" s="301"/>
      <c r="Y138" s="301"/>
      <c r="Z138" s="301"/>
      <c r="AA138" s="301"/>
      <c r="AB138" s="301"/>
      <c r="AC138" s="301"/>
      <c r="AD138" s="301"/>
    </row>
    <row r="139" spans="1:30" ht="12.75">
      <c r="A139" s="301"/>
      <c r="B139" s="301"/>
      <c r="C139" s="301"/>
      <c r="D139" s="301"/>
      <c r="E139" s="301"/>
      <c r="F139" s="301"/>
      <c r="G139" s="301"/>
      <c r="H139" s="301"/>
      <c r="I139" s="301"/>
      <c r="J139" s="301"/>
      <c r="K139" s="301"/>
      <c r="L139" s="301"/>
      <c r="M139" s="301"/>
      <c r="N139" s="301"/>
      <c r="O139" s="301"/>
      <c r="P139" s="301"/>
      <c r="Q139" s="301"/>
      <c r="R139" s="301"/>
      <c r="S139" s="301"/>
      <c r="T139" s="301"/>
      <c r="U139" s="301"/>
      <c r="V139" s="301"/>
      <c r="W139" s="301"/>
      <c r="X139" s="301"/>
      <c r="Y139" s="301"/>
      <c r="Z139" s="301"/>
      <c r="AA139" s="301"/>
      <c r="AB139" s="301"/>
      <c r="AC139" s="301"/>
      <c r="AD139" s="301"/>
    </row>
    <row r="140" spans="1:30" ht="12.75">
      <c r="A140" s="301"/>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row>
    <row r="141" spans="1:30" ht="12.75">
      <c r="A141" s="30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c r="AD141" s="301"/>
    </row>
    <row r="142" spans="1:30" ht="12.75">
      <c r="A142" s="301"/>
      <c r="B142" s="301"/>
      <c r="C142" s="301"/>
      <c r="D142" s="301"/>
      <c r="E142" s="301"/>
      <c r="F142" s="301"/>
      <c r="G142" s="301"/>
      <c r="H142" s="301"/>
      <c r="I142" s="301"/>
      <c r="J142" s="301"/>
      <c r="K142" s="301"/>
      <c r="L142" s="301"/>
      <c r="M142" s="301"/>
      <c r="N142" s="301"/>
      <c r="O142" s="301"/>
      <c r="P142" s="301"/>
      <c r="Q142" s="301"/>
      <c r="R142" s="301"/>
      <c r="S142" s="301"/>
      <c r="T142" s="301"/>
      <c r="U142" s="301"/>
      <c r="V142" s="301"/>
      <c r="W142" s="301"/>
      <c r="X142" s="301"/>
      <c r="Y142" s="301"/>
      <c r="Z142" s="301"/>
      <c r="AA142" s="301"/>
      <c r="AB142" s="301"/>
      <c r="AC142" s="301"/>
      <c r="AD142" s="301"/>
    </row>
    <row r="143" spans="1:30" ht="12.75">
      <c r="A143" s="301"/>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row>
    <row r="144" spans="1:30" ht="12.75">
      <c r="A144" s="301"/>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row>
    <row r="145" spans="1:30" ht="12.75">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row>
    <row r="146" spans="1:30" ht="12.75">
      <c r="A146" s="301"/>
      <c r="B146" s="301"/>
      <c r="C146" s="301"/>
      <c r="D146" s="301"/>
      <c r="E146" s="301"/>
      <c r="F146" s="301"/>
      <c r="G146" s="301"/>
      <c r="H146" s="301"/>
      <c r="I146" s="301"/>
      <c r="J146" s="301"/>
      <c r="K146" s="301"/>
      <c r="L146" s="301"/>
      <c r="M146" s="301"/>
      <c r="N146" s="301"/>
      <c r="O146" s="301"/>
      <c r="P146" s="301"/>
      <c r="Q146" s="301"/>
      <c r="R146" s="301"/>
      <c r="S146" s="301"/>
      <c r="T146" s="301"/>
      <c r="U146" s="301"/>
      <c r="V146" s="301"/>
      <c r="W146" s="301"/>
      <c r="X146" s="301"/>
      <c r="Y146" s="301"/>
      <c r="Z146" s="301"/>
      <c r="AA146" s="301"/>
      <c r="AB146" s="301"/>
      <c r="AC146" s="301"/>
      <c r="AD146" s="301"/>
    </row>
    <row r="147" spans="1:30" ht="12.75">
      <c r="A147" s="301"/>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row>
    <row r="148" spans="1:30" ht="12.75">
      <c r="A148" s="301"/>
      <c r="B148" s="301"/>
      <c r="C148" s="301"/>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301"/>
      <c r="AD148" s="301"/>
    </row>
    <row r="149" spans="1:30" ht="12.75">
      <c r="A149" s="301"/>
      <c r="B149" s="301"/>
      <c r="C149" s="301"/>
      <c r="D149" s="301"/>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1"/>
      <c r="AD149" s="301"/>
    </row>
    <row r="150" spans="1:30" ht="12.75">
      <c r="A150" s="301"/>
      <c r="B150" s="301"/>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row>
    <row r="151" spans="1:30" ht="12.75">
      <c r="A151" s="301"/>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c r="X151" s="301"/>
      <c r="Y151" s="301"/>
      <c r="Z151" s="301"/>
      <c r="AA151" s="301"/>
      <c r="AB151" s="301"/>
      <c r="AC151" s="301"/>
      <c r="AD151" s="301"/>
    </row>
    <row r="152" spans="1:30" ht="12.75">
      <c r="A152" s="301"/>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c r="Z152" s="301"/>
      <c r="AA152" s="301"/>
      <c r="AB152" s="301"/>
      <c r="AC152" s="301"/>
      <c r="AD152" s="301"/>
    </row>
    <row r="153" spans="1:30" ht="12.75">
      <c r="A153" s="301"/>
      <c r="B153" s="301"/>
      <c r="C153" s="301"/>
      <c r="D153" s="301"/>
      <c r="E153" s="301"/>
      <c r="F153" s="301"/>
      <c r="G153" s="301"/>
      <c r="H153" s="301"/>
      <c r="I153" s="301"/>
      <c r="J153" s="301"/>
      <c r="K153" s="301"/>
      <c r="L153" s="301"/>
      <c r="M153" s="301"/>
      <c r="N153" s="301"/>
      <c r="O153" s="301"/>
      <c r="P153" s="301"/>
      <c r="Q153" s="301"/>
      <c r="R153" s="301"/>
      <c r="S153" s="301"/>
      <c r="T153" s="301"/>
      <c r="U153" s="301"/>
      <c r="V153" s="301"/>
      <c r="W153" s="301"/>
      <c r="X153" s="301"/>
      <c r="Y153" s="301"/>
      <c r="Z153" s="301"/>
      <c r="AA153" s="301"/>
      <c r="AB153" s="301"/>
      <c r="AC153" s="301"/>
      <c r="AD153" s="301"/>
    </row>
    <row r="154" spans="1:30" ht="12.75">
      <c r="A154" s="301"/>
      <c r="B154" s="301"/>
      <c r="C154" s="301"/>
      <c r="D154" s="301"/>
      <c r="E154" s="301"/>
      <c r="F154" s="301"/>
      <c r="G154" s="301"/>
      <c r="H154" s="301"/>
      <c r="I154" s="301"/>
      <c r="J154" s="301"/>
      <c r="K154" s="301"/>
      <c r="L154" s="301"/>
      <c r="M154" s="301"/>
      <c r="N154" s="301"/>
      <c r="O154" s="301"/>
      <c r="P154" s="301"/>
      <c r="Q154" s="301"/>
      <c r="R154" s="301"/>
      <c r="S154" s="301"/>
      <c r="T154" s="301"/>
      <c r="U154" s="301"/>
      <c r="V154" s="301"/>
      <c r="W154" s="301"/>
      <c r="X154" s="301"/>
      <c r="Y154" s="301"/>
      <c r="Z154" s="301"/>
      <c r="AA154" s="301"/>
      <c r="AB154" s="301"/>
      <c r="AC154" s="301"/>
      <c r="AD154" s="301"/>
    </row>
    <row r="155" spans="1:30" ht="12.75">
      <c r="A155" s="301"/>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row>
    <row r="156" spans="1:30" ht="12.75">
      <c r="A156" s="301"/>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row>
    <row r="157" spans="1:30" ht="12.75">
      <c r="A157" s="301"/>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row>
    <row r="158" spans="1:30" ht="12.75">
      <c r="A158" s="301"/>
      <c r="B158" s="30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row>
    <row r="159" spans="1:30" ht="12.75">
      <c r="A159" s="301"/>
      <c r="B159" s="301"/>
      <c r="C159" s="301"/>
      <c r="D159" s="301"/>
      <c r="E159" s="301"/>
      <c r="F159" s="301"/>
      <c r="G159" s="301"/>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row>
    <row r="160" spans="1:30" ht="12.75">
      <c r="A160" s="301"/>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row>
    <row r="161" spans="1:30" ht="12.75">
      <c r="A161" s="301"/>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row>
    <row r="162" spans="1:30" ht="12.75">
      <c r="A162" s="301"/>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row>
    <row r="163" spans="1:30" ht="12.75">
      <c r="A163" s="301"/>
      <c r="B163" s="301"/>
      <c r="C163" s="301"/>
      <c r="D163" s="301"/>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row>
    <row r="164" spans="1:30" ht="12.75">
      <c r="A164" s="301"/>
      <c r="B164" s="301"/>
      <c r="C164" s="301"/>
      <c r="D164" s="301"/>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row>
    <row r="165" spans="1:30" ht="12.75">
      <c r="A165" s="301"/>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row>
    <row r="166" spans="1:30" ht="12.75">
      <c r="A166" s="301"/>
      <c r="B166" s="301"/>
      <c r="C166" s="301"/>
      <c r="D166" s="301"/>
      <c r="E166" s="301"/>
      <c r="F166" s="301"/>
      <c r="G166" s="301"/>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row>
    <row r="167" spans="1:30" ht="12.75">
      <c r="A167" s="301"/>
      <c r="B167" s="301"/>
      <c r="C167" s="301"/>
      <c r="D167" s="301"/>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1"/>
      <c r="AD167" s="301"/>
    </row>
    <row r="168" spans="1:30" ht="12.75">
      <c r="A168" s="301"/>
      <c r="B168" s="301"/>
      <c r="C168" s="301"/>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c r="AD168" s="301"/>
    </row>
    <row r="169" spans="1:30" ht="12.75">
      <c r="A169" s="301"/>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row>
    <row r="170" spans="1:30" ht="12.75">
      <c r="A170" s="301"/>
      <c r="B170" s="301"/>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1"/>
      <c r="AB170" s="301"/>
      <c r="AC170" s="301"/>
      <c r="AD170" s="301"/>
    </row>
    <row r="171" spans="1:30" ht="12.75">
      <c r="A171" s="301"/>
      <c r="B171" s="301"/>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row>
    <row r="172" spans="1:30" ht="12.75">
      <c r="A172" s="301"/>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row>
    <row r="173" spans="1:30" ht="12.75">
      <c r="A173" s="301"/>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row>
    <row r="174" spans="1:30" ht="12.75">
      <c r="A174" s="301"/>
      <c r="B174" s="301"/>
      <c r="C174" s="301"/>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row>
    <row r="175" spans="1:30" ht="12.75">
      <c r="A175" s="301"/>
      <c r="B175" s="301"/>
      <c r="C175" s="301"/>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row>
    <row r="176" spans="1:30" ht="12.75">
      <c r="A176" s="301"/>
      <c r="B176" s="301"/>
      <c r="C176" s="301"/>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row>
    <row r="177" spans="1:30" ht="12.75">
      <c r="A177" s="301"/>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c r="AD177" s="301"/>
    </row>
    <row r="178" spans="1:30" ht="12.75">
      <c r="A178" s="301"/>
      <c r="B178" s="301"/>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row>
    <row r="179" spans="1:30" ht="12.75">
      <c r="A179" s="301"/>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row>
    <row r="180" spans="1:30" ht="12.75">
      <c r="A180" s="301"/>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row>
    <row r="181" spans="1:30" ht="12.75">
      <c r="A181" s="301"/>
      <c r="B181" s="301"/>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c r="AD181" s="301"/>
    </row>
    <row r="182" spans="1:30" ht="12.75">
      <c r="A182" s="301"/>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row>
    <row r="183" spans="1:30" ht="12.75">
      <c r="A183" s="301"/>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row>
    <row r="184" spans="1:30" ht="12.75">
      <c r="A184" s="301"/>
      <c r="B184" s="301"/>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row>
    <row r="185" spans="1:30" ht="12.75">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row>
    <row r="186" spans="1:30" ht="12.75">
      <c r="A186" s="301"/>
      <c r="B186" s="301"/>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c r="Z186" s="301"/>
      <c r="AA186" s="301"/>
      <c r="AB186" s="301"/>
      <c r="AC186" s="301"/>
      <c r="AD186" s="301"/>
    </row>
    <row r="187" spans="1:30" ht="12.75">
      <c r="A187" s="301"/>
      <c r="B187" s="301"/>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c r="AB187" s="301"/>
      <c r="AC187" s="301"/>
      <c r="AD187" s="301"/>
    </row>
    <row r="188" spans="1:30" ht="12.75">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row>
    <row r="189" spans="1:30" ht="12.75">
      <c r="A189" s="301"/>
      <c r="B189" s="301"/>
      <c r="C189" s="301"/>
      <c r="D189" s="301"/>
      <c r="E189" s="301"/>
      <c r="F189" s="301"/>
      <c r="G189" s="301"/>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c r="AD189" s="301"/>
    </row>
    <row r="190" spans="1:30" ht="12.75">
      <c r="A190" s="301"/>
      <c r="B190" s="301"/>
      <c r="C190" s="301"/>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row>
    <row r="191" spans="1:30" ht="12.75">
      <c r="A191" s="301"/>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row>
    <row r="192" spans="1:30" ht="12.75">
      <c r="A192" s="301"/>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row>
    <row r="193" spans="1:30" ht="12.75">
      <c r="A193" s="301"/>
      <c r="B193" s="301"/>
      <c r="C193" s="301"/>
      <c r="D193" s="301"/>
      <c r="E193" s="301"/>
      <c r="F193" s="301"/>
      <c r="G193" s="301"/>
      <c r="H193" s="301"/>
      <c r="I193" s="301"/>
      <c r="J193" s="301"/>
      <c r="K193" s="301"/>
      <c r="L193" s="301"/>
      <c r="M193" s="301"/>
      <c r="N193" s="301"/>
      <c r="O193" s="301"/>
      <c r="P193" s="301"/>
      <c r="Q193" s="301"/>
      <c r="R193" s="301"/>
      <c r="S193" s="301"/>
      <c r="T193" s="301"/>
      <c r="U193" s="301"/>
      <c r="V193" s="301"/>
      <c r="W193" s="301"/>
      <c r="X193" s="301"/>
      <c r="Y193" s="301"/>
      <c r="Z193" s="301"/>
      <c r="AA193" s="301"/>
      <c r="AB193" s="301"/>
      <c r="AC193" s="301"/>
      <c r="AD193" s="301"/>
    </row>
    <row r="194" spans="1:30" ht="12.75">
      <c r="A194" s="301"/>
      <c r="B194" s="301"/>
      <c r="C194" s="301"/>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301"/>
      <c r="AD194" s="301"/>
    </row>
    <row r="195" spans="1:30" ht="12.75">
      <c r="A195" s="301"/>
      <c r="B195" s="301"/>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c r="AD195" s="301"/>
    </row>
    <row r="196" spans="1:30" ht="12.75">
      <c r="A196" s="301"/>
      <c r="B196" s="301"/>
      <c r="C196" s="301"/>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row>
    <row r="197" spans="1:30" ht="12.75">
      <c r="A197" s="301"/>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row>
    <row r="198" spans="1:30" ht="12.75">
      <c r="A198" s="301"/>
      <c r="B198" s="301"/>
      <c r="C198" s="301"/>
      <c r="D198" s="301"/>
      <c r="E198" s="301"/>
      <c r="F198" s="301"/>
      <c r="G198" s="301"/>
      <c r="H198" s="301"/>
      <c r="I198" s="301"/>
      <c r="J198" s="301"/>
      <c r="K198" s="301"/>
      <c r="L198" s="301"/>
      <c r="M198" s="301"/>
      <c r="N198" s="301"/>
      <c r="O198" s="301"/>
      <c r="P198" s="301"/>
      <c r="Q198" s="301"/>
      <c r="R198" s="301"/>
      <c r="S198" s="301"/>
      <c r="T198" s="301"/>
      <c r="U198" s="301"/>
      <c r="V198" s="301"/>
      <c r="W198" s="301"/>
      <c r="X198" s="301"/>
      <c r="Y198" s="301"/>
      <c r="Z198" s="301"/>
      <c r="AA198" s="301"/>
      <c r="AB198" s="301"/>
      <c r="AC198" s="301"/>
      <c r="AD198" s="301"/>
    </row>
    <row r="199" spans="1:30" ht="12.75">
      <c r="A199" s="301"/>
      <c r="B199" s="301"/>
      <c r="C199" s="301"/>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1"/>
    </row>
    <row r="200" spans="1:30" ht="12.75">
      <c r="A200" s="301"/>
      <c r="B200" s="301"/>
      <c r="C200" s="301"/>
      <c r="D200" s="301"/>
      <c r="E200" s="301"/>
      <c r="F200" s="301"/>
      <c r="G200" s="301"/>
      <c r="H200" s="301"/>
      <c r="I200" s="301"/>
      <c r="J200" s="301"/>
      <c r="K200" s="301"/>
      <c r="L200" s="301"/>
      <c r="M200" s="301"/>
      <c r="N200" s="301"/>
      <c r="O200" s="301"/>
      <c r="P200" s="301"/>
      <c r="Q200" s="301"/>
      <c r="R200" s="301"/>
      <c r="S200" s="301"/>
      <c r="T200" s="301"/>
      <c r="U200" s="301"/>
      <c r="V200" s="301"/>
      <c r="W200" s="301"/>
      <c r="X200" s="301"/>
      <c r="Y200" s="301"/>
      <c r="Z200" s="301"/>
      <c r="AA200" s="301"/>
      <c r="AB200" s="301"/>
      <c r="AC200" s="301"/>
      <c r="AD200" s="301"/>
    </row>
  </sheetData>
  <mergeCells count="1">
    <mergeCell ref="C2:E2"/>
  </mergeCells>
  <printOptions/>
  <pageMargins left="0.75" right="0.75" top="1" bottom="1" header="0.5" footer="0.5"/>
  <pageSetup fitToHeight="1" fitToWidth="1" horizontalDpi="600" verticalDpi="600" orientation="portrait" scale="78" r:id="rId1"/>
  <headerFooter alignWithMargins="0">
    <oddHeader>&amp;CTotal Cost of Application Ownership (TCA) Calculator</oddHeader>
    <oddFooter>&amp;LThe Tolly Group TCA Calculator
&amp;P&amp;D&amp;T&amp;R© The Tolly Group, 1999</oddFooter>
  </headerFooter>
</worksheet>
</file>

<file path=xl/worksheets/sheet16.xml><?xml version="1.0" encoding="utf-8"?>
<worksheet xmlns="http://schemas.openxmlformats.org/spreadsheetml/2006/main" xmlns:r="http://schemas.openxmlformats.org/officeDocument/2006/relationships">
  <sheetPr codeName="Sheet1421">
    <pageSetUpPr fitToPage="1"/>
  </sheetPr>
  <dimension ref="A1:O69"/>
  <sheetViews>
    <sheetView workbookViewId="0" topLeftCell="A30">
      <selection activeCell="L25" sqref="L25"/>
    </sheetView>
  </sheetViews>
  <sheetFormatPr defaultColWidth="9.140625" defaultRowHeight="12.75"/>
  <cols>
    <col min="2" max="2" width="9.421875" style="0" customWidth="1"/>
    <col min="4" max="4" width="13.28125" style="0" customWidth="1"/>
    <col min="5" max="5" width="19.00390625" style="0" customWidth="1"/>
    <col min="6" max="6" width="14.00390625" style="0" customWidth="1"/>
    <col min="7" max="7" width="8.5742187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337</v>
      </c>
      <c r="C3" s="5"/>
      <c r="D3" s="5"/>
      <c r="E3" s="5"/>
      <c r="F3" s="5"/>
      <c r="G3" s="6"/>
    </row>
    <row r="4" spans="1:7" ht="12.75">
      <c r="A4" s="4"/>
      <c r="B4" s="5"/>
      <c r="C4" s="5"/>
      <c r="D4" s="5"/>
      <c r="E4" s="5" t="s">
        <v>0</v>
      </c>
      <c r="F4" s="101" t="s">
        <v>41</v>
      </c>
      <c r="G4" s="6"/>
    </row>
    <row r="5" spans="1:7" ht="12.75">
      <c r="A5" s="4"/>
      <c r="B5" s="15" t="s">
        <v>338</v>
      </c>
      <c r="C5" s="5"/>
      <c r="D5" s="5"/>
      <c r="E5" s="103">
        <f>'Front End'!G9</f>
        <v>10</v>
      </c>
      <c r="F5" s="31">
        <f>'Calculation Sheet'!E21*E5</f>
        <v>731500</v>
      </c>
      <c r="G5" s="6"/>
    </row>
    <row r="6" spans="1:7" ht="12.75">
      <c r="A6" s="4"/>
      <c r="B6" s="15" t="s">
        <v>339</v>
      </c>
      <c r="C6" s="5"/>
      <c r="D6" s="5"/>
      <c r="E6" s="5"/>
      <c r="F6" s="31"/>
      <c r="G6" s="6"/>
    </row>
    <row r="7" spans="1:7" ht="12.75">
      <c r="A7" s="4"/>
      <c r="B7" s="5"/>
      <c r="C7" s="5" t="s">
        <v>133</v>
      </c>
      <c r="D7" s="5"/>
      <c r="E7" s="104">
        <f>'Front End'!G11</f>
        <v>25</v>
      </c>
      <c r="F7" s="31">
        <f>'Calculation Sheet'!E11*E7</f>
        <v>1898575</v>
      </c>
      <c r="G7" s="6"/>
    </row>
    <row r="8" spans="1:7" ht="13.5" thickBot="1">
      <c r="A8" s="4"/>
      <c r="B8" s="22"/>
      <c r="C8" s="22" t="s">
        <v>169</v>
      </c>
      <c r="D8" s="22"/>
      <c r="E8" s="22"/>
      <c r="F8" s="151">
        <f>'Detailed Data'!H4</f>
        <v>35000</v>
      </c>
      <c r="G8" s="6"/>
    </row>
    <row r="9" spans="1:7" ht="13.5" thickTop="1">
      <c r="A9" s="4"/>
      <c r="B9" s="5" t="s">
        <v>269</v>
      </c>
      <c r="C9" s="5"/>
      <c r="D9" s="5"/>
      <c r="E9" s="5"/>
      <c r="F9" s="31">
        <f>SUM(F7:F8,F5)</f>
        <v>2665075</v>
      </c>
      <c r="G9" s="6"/>
    </row>
    <row r="10" spans="1:7" ht="12.75">
      <c r="A10" s="4"/>
      <c r="B10" s="5"/>
      <c r="C10" s="5"/>
      <c r="D10" s="5"/>
      <c r="E10" s="5"/>
      <c r="F10" s="31"/>
      <c r="G10" s="6"/>
    </row>
    <row r="11" spans="1:7" ht="12.75">
      <c r="A11" s="4"/>
      <c r="B11" s="15" t="s">
        <v>340</v>
      </c>
      <c r="C11" s="5"/>
      <c r="D11" s="5"/>
      <c r="E11" s="5"/>
      <c r="F11" s="31"/>
      <c r="G11" s="6"/>
    </row>
    <row r="12" spans="1:7" ht="12.75">
      <c r="A12" s="4"/>
      <c r="B12" s="5"/>
      <c r="C12" s="5" t="s">
        <v>136</v>
      </c>
      <c r="D12" s="5"/>
      <c r="E12" s="5"/>
      <c r="F12" s="95">
        <f>'Detailed Data'!H5</f>
        <v>100000</v>
      </c>
      <c r="G12" s="6"/>
    </row>
    <row r="13" spans="1:7" ht="12.75">
      <c r="A13" s="4"/>
      <c r="B13" s="5"/>
      <c r="C13" s="5" t="s">
        <v>137</v>
      </c>
      <c r="D13" s="5"/>
      <c r="E13" s="5"/>
      <c r="F13" s="95">
        <f>'Detailed Data'!H6</f>
        <v>10000</v>
      </c>
      <c r="G13" s="6"/>
    </row>
    <row r="14" spans="1:7" ht="12.75">
      <c r="A14" s="4"/>
      <c r="B14" s="5"/>
      <c r="C14" s="5" t="s">
        <v>138</v>
      </c>
      <c r="D14" s="5"/>
      <c r="E14" s="5"/>
      <c r="F14" s="95">
        <v>20000</v>
      </c>
      <c r="G14" s="6"/>
    </row>
    <row r="15" spans="1:7" ht="13.5" thickBot="1">
      <c r="A15" s="4"/>
      <c r="B15" s="22"/>
      <c r="C15" s="22" t="s">
        <v>139</v>
      </c>
      <c r="D15" s="22"/>
      <c r="E15" s="22"/>
      <c r="F15" s="151">
        <v>10000</v>
      </c>
      <c r="G15" s="6"/>
    </row>
    <row r="16" spans="1:7" ht="13.5" thickTop="1">
      <c r="A16" s="4"/>
      <c r="B16" s="5" t="s">
        <v>269</v>
      </c>
      <c r="C16" s="5"/>
      <c r="D16" s="5"/>
      <c r="E16" s="5"/>
      <c r="F16" s="31">
        <f>SUM(F12:F15)</f>
        <v>140000</v>
      </c>
      <c r="G16" s="6"/>
    </row>
    <row r="17" spans="1:7" ht="13.5" thickBot="1">
      <c r="A17" s="4"/>
      <c r="B17" s="5"/>
      <c r="C17" s="5"/>
      <c r="D17" s="5"/>
      <c r="E17" s="5"/>
      <c r="F17" s="31"/>
      <c r="G17" s="6"/>
    </row>
    <row r="18" spans="1:7" ht="14.25" thickBot="1" thickTop="1">
      <c r="A18" s="4"/>
      <c r="B18" s="37" t="s">
        <v>140</v>
      </c>
      <c r="C18" s="38"/>
      <c r="D18" s="38"/>
      <c r="E18" s="38"/>
      <c r="F18" s="39">
        <f>SUM(F16,F9)</f>
        <v>2805075</v>
      </c>
      <c r="G18" s="6"/>
    </row>
    <row r="19" spans="1:7" ht="13.5" thickTop="1">
      <c r="A19" s="4"/>
      <c r="B19" s="5"/>
      <c r="C19" s="5"/>
      <c r="D19" s="5"/>
      <c r="E19" s="5"/>
      <c r="F19" s="5"/>
      <c r="G19" s="6"/>
    </row>
    <row r="20" spans="1:7" ht="13.5" thickBot="1">
      <c r="A20" s="7"/>
      <c r="B20" s="8"/>
      <c r="C20" s="8"/>
      <c r="D20" s="8"/>
      <c r="E20" s="8"/>
      <c r="F20" s="8"/>
      <c r="G20" s="9"/>
    </row>
    <row r="21"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97" r:id="rId1"/>
  <headerFooter alignWithMargins="0">
    <oddHeader>&amp;CTotal Cost of Application Ownership (TCA) Calculator</oddHeader>
    <oddFooter>&amp;LThe Tolly Group TCA Calculator&amp;R© The Tolly Group, 1999</oddFooter>
  </headerFooter>
</worksheet>
</file>

<file path=xl/worksheets/sheet17.xml><?xml version="1.0" encoding="utf-8"?>
<worksheet xmlns="http://schemas.openxmlformats.org/spreadsheetml/2006/main" xmlns:r="http://schemas.openxmlformats.org/officeDocument/2006/relationships">
  <sheetPr codeName="Sheet2">
    <pageSetUpPr fitToPage="1"/>
  </sheetPr>
  <dimension ref="A1:O101"/>
  <sheetViews>
    <sheetView workbookViewId="0" topLeftCell="A62">
      <selection activeCell="J46" sqref="J46"/>
    </sheetView>
  </sheetViews>
  <sheetFormatPr defaultColWidth="9.140625" defaultRowHeight="12.75"/>
  <cols>
    <col min="5" max="5" width="22.57421875" style="0" customWidth="1"/>
    <col min="6" max="6" width="18.28125" style="0" customWidth="1"/>
    <col min="7" max="7" width="19.00390625" style="0" customWidth="1"/>
  </cols>
  <sheetData>
    <row r="1" ht="15.75">
      <c r="A1" s="1" t="s">
        <v>345</v>
      </c>
    </row>
    <row r="2" ht="13.5" thickBot="1"/>
    <row r="3" spans="2:7" ht="13.5" thickTop="1">
      <c r="B3" s="2"/>
      <c r="C3" s="3"/>
      <c r="D3" s="3"/>
      <c r="E3" s="3"/>
      <c r="F3" s="3"/>
      <c r="G3" s="13"/>
    </row>
    <row r="4" spans="2:7" ht="15.75">
      <c r="B4" s="14" t="s">
        <v>341</v>
      </c>
      <c r="C4" s="5"/>
      <c r="D4" s="5"/>
      <c r="E4" s="5"/>
      <c r="F4" s="5"/>
      <c r="G4" s="6"/>
    </row>
    <row r="5" spans="2:7" ht="12.75">
      <c r="B5" s="4"/>
      <c r="C5" s="5"/>
      <c r="D5" s="5"/>
      <c r="E5" s="5"/>
      <c r="F5" s="5"/>
      <c r="G5" s="6"/>
    </row>
    <row r="6" spans="2:7" ht="12.75">
      <c r="B6" s="4"/>
      <c r="C6" s="16" t="s">
        <v>188</v>
      </c>
      <c r="D6" s="5"/>
      <c r="E6" s="5"/>
      <c r="F6" s="5">
        <f>'Calculation Sheet'!B29</f>
        <v>35</v>
      </c>
      <c r="G6" s="6"/>
    </row>
    <row r="7" spans="2:7" ht="12.75">
      <c r="B7" s="4"/>
      <c r="C7" s="15"/>
      <c r="D7" s="5"/>
      <c r="E7" s="5"/>
      <c r="F7" s="5"/>
      <c r="G7" s="6"/>
    </row>
    <row r="8" spans="2:7" ht="12.75">
      <c r="B8" s="4"/>
      <c r="C8" s="5"/>
      <c r="D8" s="5"/>
      <c r="E8" s="5"/>
      <c r="F8" s="5" t="s">
        <v>179</v>
      </c>
      <c r="G8" s="6" t="s">
        <v>26</v>
      </c>
    </row>
    <row r="9" spans="2:7" ht="12.75">
      <c r="B9" s="4"/>
      <c r="C9" s="5"/>
      <c r="D9" s="5"/>
      <c r="E9" s="5"/>
      <c r="F9" s="5"/>
      <c r="G9" s="6"/>
    </row>
    <row r="10" spans="2:7" ht="12.75">
      <c r="B10" s="4"/>
      <c r="C10" s="101"/>
      <c r="D10" s="16" t="s">
        <v>27</v>
      </c>
      <c r="E10" s="17"/>
      <c r="F10" s="189">
        <f>'Detailed Data'!H11</f>
        <v>55000</v>
      </c>
      <c r="G10" s="18">
        <f>(F10*F22+F10)/52/F6</f>
        <v>40.19230769230769</v>
      </c>
    </row>
    <row r="11" spans="2:7" ht="12.75">
      <c r="B11" s="4"/>
      <c r="C11" s="101"/>
      <c r="D11" s="16" t="s">
        <v>28</v>
      </c>
      <c r="E11" s="17"/>
      <c r="F11" s="189">
        <f>'Detailed Data'!H12</f>
        <v>45000</v>
      </c>
      <c r="G11" s="18">
        <f>(F11*F22+F11)/52/F6</f>
        <v>32.88461538461539</v>
      </c>
    </row>
    <row r="12" spans="2:7" ht="12.75">
      <c r="B12" s="4"/>
      <c r="C12" s="101"/>
      <c r="D12" s="16" t="s">
        <v>29</v>
      </c>
      <c r="E12" s="17"/>
      <c r="F12" s="189">
        <f>'Detailed Data'!H13</f>
        <v>65000</v>
      </c>
      <c r="G12" s="18">
        <f>(F12*F22+F12)/52/F6</f>
        <v>47.5</v>
      </c>
    </row>
    <row r="13" spans="2:7" ht="12.75">
      <c r="B13" s="4"/>
      <c r="C13" s="101"/>
      <c r="D13" s="19" t="s">
        <v>30</v>
      </c>
      <c r="E13" s="17"/>
      <c r="F13" s="189">
        <f>'Detailed Data'!H14</f>
        <v>80000</v>
      </c>
      <c r="G13" s="18">
        <f>(F13*F22+F13)/52/F6</f>
        <v>58.46153846153846</v>
      </c>
    </row>
    <row r="14" spans="2:7" ht="12.75">
      <c r="B14" s="4"/>
      <c r="C14" s="101"/>
      <c r="D14" s="16" t="s">
        <v>31</v>
      </c>
      <c r="E14" s="17"/>
      <c r="F14" s="189">
        <f>'Detailed Data'!H15</f>
        <v>65000</v>
      </c>
      <c r="G14" s="18">
        <f>(F14*F22+F14)/52/F6</f>
        <v>47.5</v>
      </c>
    </row>
    <row r="15" spans="2:7" ht="12.75">
      <c r="B15" s="4"/>
      <c r="C15" s="101"/>
      <c r="D15" s="16" t="s">
        <v>32</v>
      </c>
      <c r="E15" s="17"/>
      <c r="F15" s="189">
        <f>'Detailed Data'!H16</f>
        <v>80000</v>
      </c>
      <c r="G15" s="18">
        <f>(F15*F22+F15)/52/F6</f>
        <v>58.46153846153846</v>
      </c>
    </row>
    <row r="16" spans="2:7" ht="12.75">
      <c r="B16" s="4"/>
      <c r="C16" s="101"/>
      <c r="D16" s="16" t="s">
        <v>33</v>
      </c>
      <c r="E16" s="17"/>
      <c r="F16" s="189">
        <f>'Detailed Data'!H17</f>
        <v>68500</v>
      </c>
      <c r="G16" s="18">
        <f>(F16*F22+F16)/52/F6</f>
        <v>50.05769230769231</v>
      </c>
    </row>
    <row r="17" spans="2:7" ht="12.75">
      <c r="B17" s="4"/>
      <c r="C17" s="101"/>
      <c r="D17" s="16" t="s">
        <v>289</v>
      </c>
      <c r="E17" s="17"/>
      <c r="F17" s="189">
        <f>'Detailed Data'!H18</f>
        <v>52000</v>
      </c>
      <c r="G17" s="18">
        <f>(F17*F22+F17)/52/F6</f>
        <v>38</v>
      </c>
    </row>
    <row r="18" spans="2:7" ht="12.75">
      <c r="B18" s="4"/>
      <c r="C18" s="101"/>
      <c r="D18" s="16" t="s">
        <v>290</v>
      </c>
      <c r="E18" s="17"/>
      <c r="F18" s="189">
        <f>'Detailed Data'!H19</f>
        <v>75000</v>
      </c>
      <c r="G18" s="18">
        <f>(F18*F22+F18)/52/F6</f>
        <v>54.80769230769231</v>
      </c>
    </row>
    <row r="19" spans="2:7" ht="12.75">
      <c r="B19" s="4"/>
      <c r="C19" s="101"/>
      <c r="D19" s="16" t="s">
        <v>291</v>
      </c>
      <c r="E19" s="17"/>
      <c r="F19" s="189">
        <f>'Detailed Data'!H20</f>
        <v>80000</v>
      </c>
      <c r="G19" s="18">
        <f>(F19*F22+F19)/52/F6</f>
        <v>58.46153846153846</v>
      </c>
    </row>
    <row r="20" spans="2:7" ht="12.75">
      <c r="B20" s="4"/>
      <c r="C20" s="101"/>
      <c r="D20" s="16" t="s">
        <v>34</v>
      </c>
      <c r="E20" s="17"/>
      <c r="F20" s="189">
        <f>'Detailed Data'!H21</f>
        <v>43500</v>
      </c>
      <c r="G20" s="18">
        <f>(F20*F22+F20)/52/F6</f>
        <v>31.788461538461537</v>
      </c>
    </row>
    <row r="21" spans="2:7" ht="12.75">
      <c r="B21" s="4"/>
      <c r="C21" s="5"/>
      <c r="D21" s="5"/>
      <c r="E21" s="5"/>
      <c r="F21" s="5"/>
      <c r="G21" s="6"/>
    </row>
    <row r="22" spans="2:7" ht="12.75">
      <c r="B22" s="4"/>
      <c r="C22" s="5"/>
      <c r="D22" s="16" t="s">
        <v>35</v>
      </c>
      <c r="E22" s="5"/>
      <c r="F22" s="190">
        <f>'Detailed Data'!H23</f>
        <v>0.33</v>
      </c>
      <c r="G22" s="6"/>
    </row>
    <row r="23" spans="2:7" ht="12.75">
      <c r="B23" s="4"/>
      <c r="C23" s="5"/>
      <c r="D23" s="5"/>
      <c r="E23" s="5"/>
      <c r="F23" s="5"/>
      <c r="G23" s="6"/>
    </row>
    <row r="24" spans="2:7" ht="12.75">
      <c r="B24" s="4"/>
      <c r="C24" s="5"/>
      <c r="D24" s="15" t="s">
        <v>47</v>
      </c>
      <c r="E24" s="5"/>
      <c r="F24" s="5"/>
      <c r="G24" s="71"/>
    </row>
    <row r="25" spans="2:7" ht="12.75">
      <c r="B25" s="4"/>
      <c r="C25" s="5"/>
      <c r="D25" s="5" t="s">
        <v>48</v>
      </c>
      <c r="E25" s="78"/>
      <c r="F25" s="85">
        <f>'Client Base Data'!F9</f>
        <v>40000</v>
      </c>
      <c r="G25" s="18">
        <f>SUM(F25*F22+F25)/52/F6</f>
        <v>29.23076923076923</v>
      </c>
    </row>
    <row r="26" spans="2:7" ht="12.75">
      <c r="B26" s="4"/>
      <c r="C26" s="5"/>
      <c r="D26" s="5" t="s">
        <v>270</v>
      </c>
      <c r="E26" s="78"/>
      <c r="F26" s="85">
        <f>'Client Base Data'!F10</f>
        <v>80000</v>
      </c>
      <c r="G26" s="18">
        <f>SUM(F26*F22+F26)/52/F6</f>
        <v>58.46153846153846</v>
      </c>
    </row>
    <row r="27" spans="2:7" ht="12.75">
      <c r="B27" s="4"/>
      <c r="C27" s="5"/>
      <c r="D27" s="5" t="s">
        <v>49</v>
      </c>
      <c r="E27" s="78"/>
      <c r="F27" s="85">
        <f>'Client Base Data'!F11</f>
        <v>150000</v>
      </c>
      <c r="G27" s="18">
        <f>SUM(F27*F22+F27)/52/F6</f>
        <v>109.61538461538461</v>
      </c>
    </row>
    <row r="28" spans="2:7" ht="12.75">
      <c r="B28" s="4"/>
      <c r="C28" s="5"/>
      <c r="D28" s="5"/>
      <c r="E28" s="5"/>
      <c r="F28" s="31"/>
      <c r="G28" s="71"/>
    </row>
    <row r="29" spans="2:7" ht="12.75">
      <c r="B29" s="4"/>
      <c r="C29" s="5"/>
      <c r="D29" s="5"/>
      <c r="E29" s="5"/>
      <c r="F29" s="31" t="s">
        <v>36</v>
      </c>
      <c r="G29" s="71" t="s">
        <v>37</v>
      </c>
    </row>
    <row r="30" spans="2:7" ht="12.75">
      <c r="B30" s="4"/>
      <c r="C30" s="5"/>
      <c r="D30" s="15" t="s">
        <v>38</v>
      </c>
      <c r="E30" s="5"/>
      <c r="F30" s="20">
        <f>AVERAGE(F25:F27)</f>
        <v>90000</v>
      </c>
      <c r="G30" s="18">
        <f>AVERAGE(G25:G27)</f>
        <v>65.76923076923077</v>
      </c>
    </row>
    <row r="31" spans="2:7" ht="13.5" thickBot="1">
      <c r="B31" s="7"/>
      <c r="C31" s="8"/>
      <c r="D31" s="8"/>
      <c r="E31" s="8"/>
      <c r="F31" s="8"/>
      <c r="G31" s="9"/>
    </row>
    <row r="32" ht="14.25" thickBot="1" thickTop="1"/>
    <row r="33" spans="2:7" ht="13.5" thickTop="1">
      <c r="B33" s="2"/>
      <c r="C33" s="3"/>
      <c r="D33" s="3"/>
      <c r="E33" s="3"/>
      <c r="F33" s="3"/>
      <c r="G33" s="13"/>
    </row>
    <row r="34" spans="2:7" ht="15.75">
      <c r="B34" s="14" t="s">
        <v>342</v>
      </c>
      <c r="C34" s="5"/>
      <c r="D34" s="5"/>
      <c r="E34" s="5"/>
      <c r="F34" s="5"/>
      <c r="G34" s="6"/>
    </row>
    <row r="35" spans="2:7" ht="12.75">
      <c r="B35" s="4"/>
      <c r="C35" s="5"/>
      <c r="D35" s="5"/>
      <c r="E35" s="5"/>
      <c r="F35" s="5"/>
      <c r="G35" s="6"/>
    </row>
    <row r="36" spans="2:7" ht="12.75">
      <c r="B36" s="4"/>
      <c r="C36" s="15" t="s">
        <v>262</v>
      </c>
      <c r="D36" s="5"/>
      <c r="E36" s="5"/>
      <c r="F36" s="5"/>
      <c r="G36" s="87">
        <f>'Client Base Data'!G17</f>
        <v>5</v>
      </c>
    </row>
    <row r="37" spans="2:7" ht="12.75">
      <c r="B37" s="4"/>
      <c r="C37" s="15" t="s">
        <v>39</v>
      </c>
      <c r="D37" s="5"/>
      <c r="E37" s="5"/>
      <c r="F37" s="5"/>
      <c r="G37" s="87">
        <f>'Client Base Data'!G18</f>
        <v>30</v>
      </c>
    </row>
    <row r="38" spans="2:7" ht="13.5" thickBot="1">
      <c r="B38" s="4"/>
      <c r="C38" s="21" t="s">
        <v>189</v>
      </c>
      <c r="D38" s="22"/>
      <c r="E38" s="22"/>
      <c r="F38" s="22"/>
      <c r="G38" s="24">
        <f>AVERAGE(F11,F12,F13,F20,F17)*(F22)+AVERAGE(F11,F12,F13,F20,F17)</f>
        <v>75943</v>
      </c>
    </row>
    <row r="39" spans="2:7" ht="13.5" thickTop="1">
      <c r="B39" s="4"/>
      <c r="C39" s="5" t="s">
        <v>40</v>
      </c>
      <c r="D39" s="5"/>
      <c r="E39" s="5"/>
      <c r="F39" s="5"/>
      <c r="G39" s="23">
        <f>(G38)/52/40/60*(G37)*(G36)*12</f>
        <v>1095.3317307692307</v>
      </c>
    </row>
    <row r="40" spans="2:7" ht="13.5" thickBot="1">
      <c r="B40" s="7"/>
      <c r="C40" s="8"/>
      <c r="D40" s="8"/>
      <c r="E40" s="8"/>
      <c r="F40" s="8"/>
      <c r="G40" s="9"/>
    </row>
    <row r="41" s="74" customFormat="1" ht="14.25" thickBot="1" thickTop="1"/>
    <row r="42" spans="2:7" s="74" customFormat="1" ht="13.5" thickTop="1">
      <c r="B42" s="252"/>
      <c r="C42" s="253"/>
      <c r="D42" s="253"/>
      <c r="E42" s="253"/>
      <c r="F42" s="253"/>
      <c r="G42" s="254"/>
    </row>
    <row r="43" spans="2:7" s="74" customFormat="1" ht="15.75">
      <c r="B43" s="255" t="s">
        <v>343</v>
      </c>
      <c r="C43" s="256"/>
      <c r="D43" s="256"/>
      <c r="E43" s="256"/>
      <c r="F43" s="256"/>
      <c r="G43" s="257"/>
    </row>
    <row r="44" spans="2:7" s="74" customFormat="1" ht="12.75">
      <c r="B44" s="258"/>
      <c r="C44" s="256"/>
      <c r="D44" s="256"/>
      <c r="E44" s="256"/>
      <c r="F44" s="256"/>
      <c r="G44" s="257"/>
    </row>
    <row r="45" spans="2:7" s="74" customFormat="1" ht="12.75">
      <c r="B45" s="258"/>
      <c r="C45" s="259" t="s">
        <v>190</v>
      </c>
      <c r="D45" s="256"/>
      <c r="E45" s="256"/>
      <c r="F45" s="256"/>
      <c r="G45" s="260">
        <f>AVERAGE(F10,F12,F15,F16,F13,F14)*(F22)+AVERAGE(F10,F12,F15,F16,F13,F14)</f>
        <v>91659.16666666667</v>
      </c>
    </row>
    <row r="46" spans="2:7" s="74" customFormat="1" ht="12.75">
      <c r="B46" s="258"/>
      <c r="C46" s="259" t="s">
        <v>3</v>
      </c>
      <c r="D46" s="256"/>
      <c r="E46" s="256"/>
      <c r="F46" s="256"/>
      <c r="G46" s="261">
        <f>'Front End'!G15</f>
        <v>5</v>
      </c>
    </row>
    <row r="47" spans="2:8" s="74" customFormat="1" ht="13.5" thickBot="1">
      <c r="B47" s="258"/>
      <c r="C47" s="262" t="s">
        <v>271</v>
      </c>
      <c r="D47" s="263"/>
      <c r="E47" s="263"/>
      <c r="F47" s="263"/>
      <c r="G47" s="264">
        <f>'Front End'!G3</f>
        <v>2500</v>
      </c>
      <c r="H47" s="268"/>
    </row>
    <row r="48" spans="2:7" s="74" customFormat="1" ht="13.5" thickTop="1">
      <c r="B48" s="258"/>
      <c r="C48" s="256" t="s">
        <v>195</v>
      </c>
      <c r="D48" s="256"/>
      <c r="E48" s="256"/>
      <c r="F48" s="256"/>
      <c r="G48" s="28">
        <f>(G45*G46)/(G47)*110%+150</f>
        <v>351.6501666666667</v>
      </c>
    </row>
    <row r="49" spans="2:7" s="74" customFormat="1" ht="13.5" thickBot="1">
      <c r="B49" s="265"/>
      <c r="C49" s="266"/>
      <c r="D49" s="266"/>
      <c r="E49" s="266"/>
      <c r="F49" s="266"/>
      <c r="G49" s="267"/>
    </row>
    <row r="50" s="74" customFormat="1" ht="14.25" thickBot="1" thickTop="1"/>
    <row r="51" spans="2:7" s="74" customFormat="1" ht="13.5" thickTop="1">
      <c r="B51" s="252"/>
      <c r="C51" s="253"/>
      <c r="D51" s="253"/>
      <c r="E51" s="253"/>
      <c r="F51" s="253"/>
      <c r="G51" s="254"/>
    </row>
    <row r="52" spans="2:7" s="74" customFormat="1" ht="15.75">
      <c r="B52" s="255" t="s">
        <v>344</v>
      </c>
      <c r="C52" s="256"/>
      <c r="D52" s="256"/>
      <c r="E52" s="256"/>
      <c r="F52" s="256"/>
      <c r="G52" s="257"/>
    </row>
    <row r="53" spans="2:7" s="74" customFormat="1" ht="12.75">
      <c r="B53" s="258"/>
      <c r="C53" s="256"/>
      <c r="D53" s="256"/>
      <c r="E53" s="256"/>
      <c r="F53" s="256"/>
      <c r="G53" s="257"/>
    </row>
    <row r="54" spans="2:7" s="74" customFormat="1" ht="12.75">
      <c r="B54" s="258"/>
      <c r="C54" s="259" t="s">
        <v>266</v>
      </c>
      <c r="D54" s="256"/>
      <c r="E54" s="256"/>
      <c r="F54" s="256"/>
      <c r="G54" s="260">
        <f>AVERAGE(F10,F12,F13,F14)*(F22)+AVERAGE(F10,F12,F13,F14)</f>
        <v>88112.5</v>
      </c>
    </row>
    <row r="55" spans="2:7" s="74" customFormat="1" ht="12.75">
      <c r="B55" s="258"/>
      <c r="C55" s="259" t="s">
        <v>2</v>
      </c>
      <c r="D55" s="256"/>
      <c r="E55" s="256"/>
      <c r="F55" s="256"/>
      <c r="G55" s="261">
        <f>'Front End'!G13</f>
        <v>5</v>
      </c>
    </row>
    <row r="56" spans="2:8" s="74" customFormat="1" ht="13.5" thickBot="1">
      <c r="B56" s="258"/>
      <c r="C56" s="262" t="s">
        <v>271</v>
      </c>
      <c r="D56" s="263"/>
      <c r="E56" s="263"/>
      <c r="F56" s="263"/>
      <c r="G56" s="264">
        <f>'Front End'!G3</f>
        <v>2500</v>
      </c>
      <c r="H56" s="268"/>
    </row>
    <row r="57" spans="2:7" s="74" customFormat="1" ht="13.5" thickTop="1">
      <c r="B57" s="258"/>
      <c r="C57" s="256" t="s">
        <v>191</v>
      </c>
      <c r="D57" s="256"/>
      <c r="E57" s="256"/>
      <c r="F57" s="256"/>
      <c r="G57" s="28">
        <f>G54*G55/G56+'Calculation Sheet'!C11</f>
        <v>315.825</v>
      </c>
    </row>
    <row r="58" spans="2:7" s="74" customFormat="1" ht="13.5" thickBot="1">
      <c r="B58" s="265"/>
      <c r="C58" s="266"/>
      <c r="D58" s="266"/>
      <c r="E58" s="266"/>
      <c r="F58" s="266"/>
      <c r="G58" s="267"/>
    </row>
    <row r="59" s="74" customFormat="1" ht="13.5" thickTop="1"/>
    <row r="60" ht="15.75">
      <c r="C60" s="1"/>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60">
      <c r="A65" s="134" t="s">
        <v>249</v>
      </c>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60">
      <c r="A73" s="134"/>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60">
      <c r="A84" s="133"/>
      <c r="B84" s="133"/>
      <c r="C84" s="133"/>
      <c r="D84" s="134"/>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6.5" customHeight="1">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5" customHeight="1">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12.75">
      <c r="A101" s="133"/>
      <c r="B101" s="133"/>
      <c r="C101" s="133"/>
      <c r="D101" s="133"/>
      <c r="E101" s="133"/>
      <c r="F101" s="133"/>
      <c r="G101" s="133"/>
      <c r="H101" s="133"/>
      <c r="I101" s="133"/>
      <c r="J101" s="133"/>
      <c r="K101" s="133"/>
      <c r="L101" s="133"/>
      <c r="M101" s="133"/>
      <c r="N101" s="133"/>
      <c r="O101" s="133"/>
    </row>
  </sheetData>
  <sheetProtection password="D023" sheet="1" objects="1" scenarios="1"/>
  <printOptions/>
  <pageMargins left="0.75" right="0.75" top="1" bottom="1" header="0.5" footer="0.5"/>
  <pageSetup fitToHeight="1" fitToWidth="1" horizontalDpi="600" verticalDpi="600" orientation="portrait" scale="79" r:id="rId1"/>
  <headerFooter alignWithMargins="0">
    <oddHeader>&amp;CTotal Cost of Application Ownership (TCA) Calculator</oddHeader>
    <oddFooter>&amp;LThe Tolly Group TCA Calculator&amp;R© The Tolly Group, 1999</oddFooter>
  </headerFooter>
</worksheet>
</file>

<file path=xl/worksheets/sheet18.xml><?xml version="1.0" encoding="utf-8"?>
<worksheet xmlns="http://schemas.openxmlformats.org/spreadsheetml/2006/main" xmlns:r="http://schemas.openxmlformats.org/officeDocument/2006/relationships">
  <sheetPr codeName="Sheet4">
    <pageSetUpPr fitToPage="1"/>
  </sheetPr>
  <dimension ref="A1:O79"/>
  <sheetViews>
    <sheetView workbookViewId="0" topLeftCell="A40">
      <selection activeCell="K28" sqref="K28"/>
    </sheetView>
  </sheetViews>
  <sheetFormatPr defaultColWidth="9.140625" defaultRowHeight="12.75"/>
  <cols>
    <col min="4" max="4" width="11.57421875" style="0" customWidth="1"/>
    <col min="5" max="5" width="14.140625" style="0" customWidth="1"/>
    <col min="6" max="6" width="13.00390625" style="0" customWidth="1"/>
    <col min="7" max="7" width="13.57421875" style="0" customWidth="1"/>
  </cols>
  <sheetData>
    <row r="1" spans="2:8" ht="15.75" thickTop="1">
      <c r="B1" s="34" t="s">
        <v>192</v>
      </c>
      <c r="C1" s="3"/>
      <c r="D1" s="3"/>
      <c r="E1" s="3"/>
      <c r="F1" s="3"/>
      <c r="G1" s="3"/>
      <c r="H1" s="13"/>
    </row>
    <row r="2" spans="2:8" ht="12.75">
      <c r="B2" s="4"/>
      <c r="C2" s="5"/>
      <c r="D2" s="5"/>
      <c r="E2" s="5"/>
      <c r="F2" s="5"/>
      <c r="G2" s="5"/>
      <c r="H2" s="6"/>
    </row>
    <row r="3" spans="2:8" ht="15.75">
      <c r="B3" s="4"/>
      <c r="C3" s="30" t="s">
        <v>346</v>
      </c>
      <c r="D3" s="5"/>
      <c r="E3" s="5"/>
      <c r="F3" s="5"/>
      <c r="G3" s="5"/>
      <c r="H3" s="6"/>
    </row>
    <row r="4" spans="2:8" ht="12.75" customHeight="1">
      <c r="B4" s="4"/>
      <c r="C4" s="30"/>
      <c r="D4" s="5"/>
      <c r="E4" s="5"/>
      <c r="F4" s="5"/>
      <c r="G4" s="5"/>
      <c r="H4" s="6"/>
    </row>
    <row r="5" spans="2:8" ht="12.75" customHeight="1">
      <c r="B5" s="4"/>
      <c r="C5" s="15" t="s">
        <v>347</v>
      </c>
      <c r="D5" s="5"/>
      <c r="E5" s="5"/>
      <c r="F5" s="5"/>
      <c r="G5" s="31">
        <f>AVERAGE('FatClient Base Data'!F18:F19)*'FatClient Base Data'!F22+AVERAGE('FatClient Base Data'!F18:F19)</f>
        <v>103075</v>
      </c>
      <c r="H5" s="6"/>
    </row>
    <row r="6" spans="2:8" ht="12.75" customHeight="1">
      <c r="B6" s="4"/>
      <c r="C6" s="15" t="s">
        <v>348</v>
      </c>
      <c r="D6" s="5"/>
      <c r="E6" s="5"/>
      <c r="F6" s="5"/>
      <c r="G6" s="189">
        <f>'Detailed Data 2'!H14</f>
        <v>185</v>
      </c>
      <c r="H6" s="6"/>
    </row>
    <row r="7" spans="2:8" ht="12.75" customHeight="1">
      <c r="B7" s="4"/>
      <c r="C7" s="30"/>
      <c r="D7" s="5"/>
      <c r="E7" s="5"/>
      <c r="F7" s="5"/>
      <c r="G7" s="5"/>
      <c r="H7" s="6"/>
    </row>
    <row r="8" spans="2:8" ht="12.75">
      <c r="B8" s="4"/>
      <c r="C8" s="5"/>
      <c r="D8" s="5"/>
      <c r="E8" s="5"/>
      <c r="F8" s="5"/>
      <c r="G8" s="5"/>
      <c r="H8" s="6"/>
    </row>
    <row r="9" spans="2:8" ht="12.75">
      <c r="B9" s="4"/>
      <c r="C9" s="15" t="s">
        <v>351</v>
      </c>
      <c r="D9" s="5"/>
      <c r="E9" s="5"/>
      <c r="F9" s="5" t="s">
        <v>50</v>
      </c>
      <c r="G9" s="101" t="s">
        <v>41</v>
      </c>
      <c r="H9" s="6"/>
    </row>
    <row r="10" spans="2:8" ht="12.75">
      <c r="B10" s="4"/>
      <c r="C10" s="5"/>
      <c r="D10" s="5" t="s">
        <v>51</v>
      </c>
      <c r="E10" s="5"/>
      <c r="F10" s="103">
        <f>'Detailed Data 2'!H16</f>
        <v>0</v>
      </c>
      <c r="G10" s="31">
        <f>G5/52/40*F10</f>
        <v>0</v>
      </c>
      <c r="H10" s="6"/>
    </row>
    <row r="11" spans="2:8" ht="12.75">
      <c r="B11" s="4"/>
      <c r="C11" s="5"/>
      <c r="D11" s="5" t="s">
        <v>52</v>
      </c>
      <c r="E11" s="5"/>
      <c r="F11" s="103">
        <f>'Detailed Data 2'!H17</f>
        <v>0</v>
      </c>
      <c r="G11" s="31">
        <f>G5/52/40*F11</f>
        <v>0</v>
      </c>
      <c r="H11" s="6"/>
    </row>
    <row r="12" spans="2:8" ht="12.75">
      <c r="B12" s="4"/>
      <c r="C12" s="5"/>
      <c r="D12" s="5" t="s">
        <v>53</v>
      </c>
      <c r="E12" s="5"/>
      <c r="F12" s="103">
        <f>'Detailed Data 2'!H18</f>
        <v>20</v>
      </c>
      <c r="G12" s="31">
        <f>G5/52/40*F12</f>
        <v>991.1057692307693</v>
      </c>
      <c r="H12" s="6"/>
    </row>
    <row r="13" spans="2:8" ht="13.5" thickBot="1">
      <c r="B13" s="4"/>
      <c r="C13" s="22"/>
      <c r="D13" s="22" t="s">
        <v>54</v>
      </c>
      <c r="E13" s="22"/>
      <c r="F13" s="191">
        <f>'Detailed Data 2'!H19</f>
        <v>20</v>
      </c>
      <c r="G13" s="35">
        <f>G5/52/40*F13</f>
        <v>991.1057692307693</v>
      </c>
      <c r="H13" s="6"/>
    </row>
    <row r="14" spans="2:8" ht="13.5" thickTop="1">
      <c r="B14" s="4"/>
      <c r="C14" s="5" t="s">
        <v>269</v>
      </c>
      <c r="D14" s="5"/>
      <c r="E14" s="5"/>
      <c r="F14" s="5"/>
      <c r="G14" s="31">
        <f>SUM(G10:G13)</f>
        <v>1982.2115384615386</v>
      </c>
      <c r="H14" s="6"/>
    </row>
    <row r="15" spans="2:8" ht="12.75">
      <c r="B15" s="4"/>
      <c r="C15" s="5"/>
      <c r="D15" s="5"/>
      <c r="E15" s="5"/>
      <c r="F15" s="5"/>
      <c r="G15" s="31"/>
      <c r="H15" s="6"/>
    </row>
    <row r="16" spans="2:8" ht="12.75">
      <c r="B16" s="4"/>
      <c r="C16" s="15" t="s">
        <v>349</v>
      </c>
      <c r="D16" s="5"/>
      <c r="E16" s="5"/>
      <c r="F16" s="5" t="s">
        <v>50</v>
      </c>
      <c r="G16" s="31"/>
      <c r="H16" s="6"/>
    </row>
    <row r="17" spans="2:8" ht="12.75">
      <c r="B17" s="4"/>
      <c r="C17" s="5"/>
      <c r="D17" s="5" t="s">
        <v>51</v>
      </c>
      <c r="E17" s="5"/>
      <c r="F17" s="103">
        <f>'Detailed Data 2'!H21</f>
        <v>0</v>
      </c>
      <c r="G17" s="149">
        <f>G6*F17</f>
        <v>0</v>
      </c>
      <c r="H17" s="6"/>
    </row>
    <row r="18" spans="2:8" ht="12.75">
      <c r="B18" s="4"/>
      <c r="C18" s="5"/>
      <c r="D18" s="5" t="s">
        <v>52</v>
      </c>
      <c r="E18" s="5"/>
      <c r="F18" s="103">
        <f>'Detailed Data 2'!H22</f>
        <v>0</v>
      </c>
      <c r="G18" s="31">
        <f>G6*F18</f>
        <v>0</v>
      </c>
      <c r="H18" s="6"/>
    </row>
    <row r="19" spans="2:8" ht="12.75">
      <c r="B19" s="4"/>
      <c r="C19" s="5"/>
      <c r="D19" s="5" t="s">
        <v>53</v>
      </c>
      <c r="E19" s="5"/>
      <c r="F19" s="103">
        <f>'Detailed Data 2'!H23</f>
        <v>0</v>
      </c>
      <c r="G19" s="31">
        <f>G6*F19</f>
        <v>0</v>
      </c>
      <c r="H19" s="6"/>
    </row>
    <row r="20" spans="2:8" ht="13.5" thickBot="1">
      <c r="B20" s="4"/>
      <c r="C20" s="22"/>
      <c r="D20" s="22" t="s">
        <v>54</v>
      </c>
      <c r="E20" s="22"/>
      <c r="F20" s="191">
        <f>'Detailed Data 2'!H24</f>
        <v>0</v>
      </c>
      <c r="G20" s="35">
        <f>G6*F20</f>
        <v>0</v>
      </c>
      <c r="H20" s="6"/>
    </row>
    <row r="21" spans="2:8" ht="13.5" thickTop="1">
      <c r="B21" s="4"/>
      <c r="C21" s="5"/>
      <c r="D21" s="5"/>
      <c r="E21" s="5"/>
      <c r="F21" s="5"/>
      <c r="G21" s="31">
        <f>SUM(G17:G20)</f>
        <v>0</v>
      </c>
      <c r="H21" s="6"/>
    </row>
    <row r="22" spans="2:8" ht="12.75">
      <c r="B22" s="4"/>
      <c r="C22" s="5"/>
      <c r="D22" s="5"/>
      <c r="E22" s="5"/>
      <c r="F22" s="5"/>
      <c r="G22" s="31"/>
      <c r="H22" s="6"/>
    </row>
    <row r="23" spans="2:8" ht="12.75">
      <c r="B23" s="4"/>
      <c r="C23" s="15" t="s">
        <v>350</v>
      </c>
      <c r="D23" s="5"/>
      <c r="E23" s="5"/>
      <c r="F23" s="5"/>
      <c r="G23" s="55"/>
      <c r="H23" s="6"/>
    </row>
    <row r="24" spans="2:8" ht="12.75">
      <c r="B24" s="4"/>
      <c r="C24" s="5"/>
      <c r="D24" s="5" t="s">
        <v>55</v>
      </c>
      <c r="E24" s="5"/>
      <c r="F24" s="5"/>
      <c r="G24" s="189">
        <f>'Detailed Data 2'!H27</f>
        <v>0</v>
      </c>
      <c r="H24" s="6"/>
    </row>
    <row r="25" spans="2:8" ht="12.75">
      <c r="B25" s="4"/>
      <c r="C25" s="5"/>
      <c r="D25" s="5" t="s">
        <v>56</v>
      </c>
      <c r="E25" s="5"/>
      <c r="F25" s="5"/>
      <c r="G25" s="189">
        <f>'Detailed Data 2'!H28</f>
        <v>0</v>
      </c>
      <c r="H25" s="6"/>
    </row>
    <row r="26" spans="2:8" ht="12.75">
      <c r="B26" s="4"/>
      <c r="C26" s="5"/>
      <c r="D26" s="5" t="s">
        <v>57</v>
      </c>
      <c r="E26" s="5"/>
      <c r="F26" s="5"/>
      <c r="G26" s="189">
        <f>'Detailed Data 2'!H29</f>
        <v>10000</v>
      </c>
      <c r="H26" s="6"/>
    </row>
    <row r="27" spans="2:8" ht="12.75">
      <c r="B27" s="4"/>
      <c r="C27" s="5"/>
      <c r="D27" s="5" t="s">
        <v>58</v>
      </c>
      <c r="E27" s="36"/>
      <c r="F27" s="36"/>
      <c r="G27" s="90"/>
      <c r="H27" s="6"/>
    </row>
    <row r="28" spans="2:8" ht="12.75">
      <c r="B28" s="4"/>
      <c r="C28" s="5"/>
      <c r="D28" s="5"/>
      <c r="E28" s="5" t="s">
        <v>59</v>
      </c>
      <c r="F28" s="5"/>
      <c r="G28" s="189">
        <f>'Detailed Data 2'!H30</f>
        <v>10000</v>
      </c>
      <c r="H28" s="6"/>
    </row>
    <row r="29" spans="2:8" ht="13.5" thickBot="1">
      <c r="B29" s="4"/>
      <c r="C29" s="22"/>
      <c r="D29" s="22"/>
      <c r="E29" s="22" t="s">
        <v>44</v>
      </c>
      <c r="F29" s="22"/>
      <c r="G29" s="188">
        <f>'Detailed Data 2'!H31</f>
        <v>10000</v>
      </c>
      <c r="H29" s="6"/>
    </row>
    <row r="30" spans="2:8" ht="13.5" thickTop="1">
      <c r="B30" s="4"/>
      <c r="C30" s="5" t="s">
        <v>269</v>
      </c>
      <c r="D30" s="5"/>
      <c r="E30" s="5"/>
      <c r="F30" s="5"/>
      <c r="G30" s="31">
        <f>SUM(G24:G26,G28:G29)</f>
        <v>30000</v>
      </c>
      <c r="H30" s="6"/>
    </row>
    <row r="31" spans="2:8" ht="13.5" thickBot="1">
      <c r="B31" s="4"/>
      <c r="C31" s="5"/>
      <c r="D31" s="5"/>
      <c r="E31" s="5"/>
      <c r="F31" s="5"/>
      <c r="G31" s="31"/>
      <c r="H31" s="6"/>
    </row>
    <row r="32" spans="2:8" ht="14.25" thickBot="1" thickTop="1">
      <c r="B32" s="4"/>
      <c r="C32" s="37" t="s">
        <v>60</v>
      </c>
      <c r="D32" s="38"/>
      <c r="E32" s="38"/>
      <c r="F32" s="38"/>
      <c r="G32" s="39">
        <f>G14+G21+G30</f>
        <v>31982.21153846154</v>
      </c>
      <c r="H32" s="6"/>
    </row>
    <row r="33" spans="2:8" ht="13.5" thickTop="1">
      <c r="B33" s="4"/>
      <c r="C33" s="5"/>
      <c r="D33" s="5"/>
      <c r="E33" s="5"/>
      <c r="F33" s="5"/>
      <c r="G33" s="5"/>
      <c r="H33" s="6"/>
    </row>
    <row r="34" spans="2:8" ht="13.5" thickBot="1">
      <c r="B34" s="7"/>
      <c r="C34" s="8"/>
      <c r="D34" s="8"/>
      <c r="E34" s="8"/>
      <c r="F34" s="8"/>
      <c r="G34" s="8"/>
      <c r="H34" s="9"/>
    </row>
    <row r="35"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92" r:id="rId1"/>
  <headerFooter alignWithMargins="0">
    <oddHeader>&amp;CTotal Cost of Application Ownership (TCA) Calculator</oddHeader>
    <oddFooter>&amp;LThe Tolly Group TCA Calculator&amp;R© The Tolly Group, 1999</oddFooter>
  </headerFooter>
</worksheet>
</file>

<file path=xl/worksheets/sheet19.xml><?xml version="1.0" encoding="utf-8"?>
<worksheet xmlns="http://schemas.openxmlformats.org/spreadsheetml/2006/main" xmlns:r="http://schemas.openxmlformats.org/officeDocument/2006/relationships">
  <sheetPr codeName="Sheet5">
    <pageSetUpPr fitToPage="1"/>
  </sheetPr>
  <dimension ref="A1:O79"/>
  <sheetViews>
    <sheetView workbookViewId="0" topLeftCell="A40">
      <selection activeCell="H28" sqref="H28"/>
    </sheetView>
  </sheetViews>
  <sheetFormatPr defaultColWidth="9.140625" defaultRowHeight="12.75"/>
  <cols>
    <col min="2" max="2" width="9.57421875" style="0" customWidth="1"/>
    <col min="4" max="4" width="9.57421875" style="0" customWidth="1"/>
    <col min="5" max="5" width="15.140625" style="0" customWidth="1"/>
    <col min="6" max="6" width="16.140625" style="0" customWidth="1"/>
    <col min="7" max="7" width="11.28125" style="0" customWidth="1"/>
    <col min="8" max="8" width="14.0039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352</v>
      </c>
      <c r="C3" s="5"/>
      <c r="D3" s="5"/>
      <c r="E3" s="5"/>
      <c r="F3" s="5"/>
      <c r="G3" s="5"/>
      <c r="H3" s="5"/>
      <c r="I3" s="6"/>
    </row>
    <row r="4" spans="1:9" ht="12.75">
      <c r="A4" s="4"/>
      <c r="B4" s="5"/>
      <c r="C4" s="5"/>
      <c r="D4" s="5"/>
      <c r="E4" s="5"/>
      <c r="F4" s="5"/>
      <c r="G4" s="51" t="s">
        <v>1</v>
      </c>
      <c r="H4" s="51"/>
      <c r="I4" s="6"/>
    </row>
    <row r="5" spans="1:9" ht="15.75">
      <c r="A5" s="14"/>
      <c r="B5" s="30" t="s">
        <v>353</v>
      </c>
      <c r="C5" s="5"/>
      <c r="D5" s="5"/>
      <c r="E5" s="5"/>
      <c r="F5" s="31"/>
      <c r="G5" s="5"/>
      <c r="H5" s="5"/>
      <c r="I5" s="6"/>
    </row>
    <row r="6" spans="1:9" ht="12.75">
      <c r="A6" s="4"/>
      <c r="B6" s="5"/>
      <c r="C6" s="15" t="s">
        <v>354</v>
      </c>
      <c r="D6" s="5"/>
      <c r="E6" s="5"/>
      <c r="F6" s="139" t="s">
        <v>264</v>
      </c>
      <c r="G6" s="51" t="s">
        <v>263</v>
      </c>
      <c r="H6" s="142" t="s">
        <v>41</v>
      </c>
      <c r="I6" s="6"/>
    </row>
    <row r="7" spans="1:9" ht="12.75">
      <c r="A7" s="4"/>
      <c r="B7" s="5"/>
      <c r="C7" s="5"/>
      <c r="D7" s="5" t="s">
        <v>62</v>
      </c>
      <c r="E7" s="5"/>
      <c r="F7" s="85">
        <f>'Client Software Acquisition'!G8</f>
        <v>189</v>
      </c>
      <c r="G7" s="160">
        <f>'Client Software Acquisition'!H8</f>
        <v>2500</v>
      </c>
      <c r="H7" s="31">
        <f>F7*G7</f>
        <v>472500</v>
      </c>
      <c r="I7" s="6"/>
    </row>
    <row r="8" spans="1:9" ht="12.75">
      <c r="A8" s="4"/>
      <c r="B8" s="5"/>
      <c r="C8" s="5"/>
      <c r="D8" s="5" t="s">
        <v>63</v>
      </c>
      <c r="E8" s="5"/>
      <c r="F8" s="85">
        <f>'Client Software Acquisition'!G9</f>
        <v>98</v>
      </c>
      <c r="G8" s="160">
        <f>'Client Software Acquisition'!H9</f>
        <v>0</v>
      </c>
      <c r="H8" s="31">
        <f aca="true" t="shared" si="0" ref="H8:H13">F8*G8</f>
        <v>0</v>
      </c>
      <c r="I8" s="6"/>
    </row>
    <row r="9" spans="1:9" ht="12.75">
      <c r="A9" s="4"/>
      <c r="B9" s="5"/>
      <c r="C9" s="5"/>
      <c r="D9" s="5" t="s">
        <v>64</v>
      </c>
      <c r="E9" s="5"/>
      <c r="F9" s="85">
        <f>'Client Software Acquisition'!G10</f>
        <v>0</v>
      </c>
      <c r="G9" s="160">
        <f>'Client Software Acquisition'!H10</f>
        <v>0</v>
      </c>
      <c r="H9" s="31">
        <f t="shared" si="0"/>
        <v>0</v>
      </c>
      <c r="I9" s="6"/>
    </row>
    <row r="10" spans="1:9" ht="12.75">
      <c r="A10" s="4"/>
      <c r="B10" s="5"/>
      <c r="C10" s="5"/>
      <c r="D10" s="5" t="s">
        <v>65</v>
      </c>
      <c r="E10" s="5"/>
      <c r="F10" s="85">
        <f>'Client Software Acquisition'!G11</f>
        <v>0</v>
      </c>
      <c r="G10" s="160">
        <f>'Client Software Acquisition'!H11</f>
        <v>0</v>
      </c>
      <c r="H10" s="31">
        <f t="shared" si="0"/>
        <v>0</v>
      </c>
      <c r="I10" s="6"/>
    </row>
    <row r="11" spans="1:9" ht="12.75">
      <c r="A11" s="4"/>
      <c r="B11" s="5"/>
      <c r="C11" s="5"/>
      <c r="D11" s="5" t="s">
        <v>66</v>
      </c>
      <c r="E11" s="5"/>
      <c r="F11" s="85">
        <f>'Client Software Acquisition'!G12</f>
        <v>0</v>
      </c>
      <c r="G11" s="160">
        <f>'Client Software Acquisition'!H12</f>
        <v>0</v>
      </c>
      <c r="H11" s="31">
        <f t="shared" si="0"/>
        <v>0</v>
      </c>
      <c r="I11" s="6"/>
    </row>
    <row r="12" spans="1:9" ht="12.75">
      <c r="A12" s="4"/>
      <c r="B12" s="5"/>
      <c r="C12" s="5"/>
      <c r="D12" s="5" t="s">
        <v>67</v>
      </c>
      <c r="E12" s="5"/>
      <c r="F12" s="85">
        <f>'Client Software Acquisition'!G13</f>
        <v>0</v>
      </c>
      <c r="G12" s="160">
        <f>'Client Software Acquisition'!H13</f>
        <v>0</v>
      </c>
      <c r="H12" s="31">
        <f t="shared" si="0"/>
        <v>0</v>
      </c>
      <c r="I12" s="6"/>
    </row>
    <row r="13" spans="1:9" ht="13.5" thickBot="1">
      <c r="A13" s="52"/>
      <c r="B13" s="22"/>
      <c r="C13" s="22"/>
      <c r="D13" s="22" t="s">
        <v>25</v>
      </c>
      <c r="E13" s="22"/>
      <c r="F13" s="85">
        <f>'Client Software Acquisition'!G14</f>
        <v>0</v>
      </c>
      <c r="G13" s="160">
        <f>'Client Software Acquisition'!H14</f>
        <v>0</v>
      </c>
      <c r="H13" s="35">
        <f t="shared" si="0"/>
        <v>0</v>
      </c>
      <c r="I13" s="6"/>
    </row>
    <row r="14" spans="1:9" ht="13.5" thickTop="1">
      <c r="A14" s="4"/>
      <c r="B14" s="5" t="s">
        <v>269</v>
      </c>
      <c r="C14" s="5"/>
      <c r="D14" s="5"/>
      <c r="E14" s="5"/>
      <c r="F14" s="31"/>
      <c r="G14" s="5"/>
      <c r="H14" s="31">
        <f>SUM(H7:H13)</f>
        <v>472500</v>
      </c>
      <c r="I14" s="6"/>
    </row>
    <row r="15" spans="1:9" ht="12.75">
      <c r="A15" s="4"/>
      <c r="B15" s="5"/>
      <c r="C15" s="5"/>
      <c r="D15" s="5"/>
      <c r="E15" s="5"/>
      <c r="F15" s="31"/>
      <c r="G15" s="5"/>
      <c r="H15" s="5"/>
      <c r="I15" s="6"/>
    </row>
    <row r="16" spans="1:9" ht="12.75">
      <c r="A16" s="4"/>
      <c r="B16" s="5"/>
      <c r="C16" s="15" t="s">
        <v>355</v>
      </c>
      <c r="D16" s="5"/>
      <c r="E16" s="5"/>
      <c r="F16" s="31"/>
      <c r="G16" s="5"/>
      <c r="H16" s="5"/>
      <c r="I16" s="6"/>
    </row>
    <row r="17" spans="1:9" ht="12.75">
      <c r="A17" s="4"/>
      <c r="B17" s="5"/>
      <c r="C17" s="5"/>
      <c r="D17" s="5" t="s">
        <v>68</v>
      </c>
      <c r="E17" s="5"/>
      <c r="F17" s="85">
        <f>'Client Software Acquisition'!G18</f>
        <v>58</v>
      </c>
      <c r="G17" s="160">
        <f>'Client Software Acquisition'!H18</f>
        <v>2500</v>
      </c>
      <c r="H17" s="31">
        <f>F17*G17</f>
        <v>145000</v>
      </c>
      <c r="I17" s="6"/>
    </row>
    <row r="18" spans="1:9" ht="12.75">
      <c r="A18" s="4"/>
      <c r="B18" s="5"/>
      <c r="C18" s="5"/>
      <c r="D18" s="5" t="s">
        <v>69</v>
      </c>
      <c r="E18" s="5"/>
      <c r="F18" s="85">
        <f>'Client Software Acquisition'!G19</f>
        <v>65</v>
      </c>
      <c r="G18" s="160">
        <f>'Client Software Acquisition'!H19</f>
        <v>2500</v>
      </c>
      <c r="H18" s="31">
        <f>F18*G18</f>
        <v>162500</v>
      </c>
      <c r="I18" s="6"/>
    </row>
    <row r="19" spans="1:9" ht="13.5" thickBot="1">
      <c r="A19" s="52"/>
      <c r="B19" s="22"/>
      <c r="C19" s="22"/>
      <c r="D19" s="22" t="s">
        <v>25</v>
      </c>
      <c r="E19" s="22"/>
      <c r="F19" s="85">
        <f>'Client Software Acquisition'!G20</f>
        <v>0</v>
      </c>
      <c r="G19" s="160">
        <f>'Client Software Acquisition'!H20</f>
        <v>0</v>
      </c>
      <c r="H19" s="35">
        <f>F19*G19</f>
        <v>0</v>
      </c>
      <c r="I19" s="6"/>
    </row>
    <row r="20" spans="1:9" ht="13.5" thickTop="1">
      <c r="A20" s="4"/>
      <c r="B20" s="5" t="s">
        <v>269</v>
      </c>
      <c r="C20" s="5"/>
      <c r="D20" s="5"/>
      <c r="E20" s="5"/>
      <c r="F20" s="31"/>
      <c r="G20" s="5"/>
      <c r="H20" s="31">
        <f>SUM(H17:H19)</f>
        <v>307500</v>
      </c>
      <c r="I20" s="6"/>
    </row>
    <row r="21" spans="1:9" ht="12.75">
      <c r="A21" s="4"/>
      <c r="B21" s="5"/>
      <c r="C21" s="5"/>
      <c r="D21" s="5"/>
      <c r="E21" s="5"/>
      <c r="F21" s="31"/>
      <c r="G21" s="5"/>
      <c r="H21" s="5"/>
      <c r="I21" s="6"/>
    </row>
    <row r="22" spans="1:9" ht="12.75">
      <c r="A22" s="4"/>
      <c r="B22" s="5"/>
      <c r="C22" s="15" t="s">
        <v>356</v>
      </c>
      <c r="D22" s="5"/>
      <c r="E22" s="5"/>
      <c r="F22" s="31"/>
      <c r="G22" s="5"/>
      <c r="H22" s="5"/>
      <c r="I22" s="6"/>
    </row>
    <row r="23" spans="1:9" ht="12.75">
      <c r="A23" s="4"/>
      <c r="B23" s="5"/>
      <c r="C23" s="5"/>
      <c r="D23" s="5" t="s">
        <v>70</v>
      </c>
      <c r="E23" s="5"/>
      <c r="F23" s="85">
        <f>'Client Software Acquisition'!G23</f>
        <v>50</v>
      </c>
      <c r="G23" s="160">
        <f>'Client Software Acquisition'!H23</f>
        <v>2500</v>
      </c>
      <c r="H23" s="31">
        <f>F23*G23</f>
        <v>125000</v>
      </c>
      <c r="I23" s="6"/>
    </row>
    <row r="24" spans="1:9" ht="12.75">
      <c r="A24" s="4"/>
      <c r="B24" s="5"/>
      <c r="C24" s="5"/>
      <c r="D24" s="5" t="s">
        <v>71</v>
      </c>
      <c r="E24" s="5"/>
      <c r="F24" s="85">
        <f>'Client Software Acquisition'!G24</f>
        <v>0</v>
      </c>
      <c r="G24" s="160">
        <f>'Client Software Acquisition'!H24</f>
        <v>0</v>
      </c>
      <c r="H24" s="31">
        <f>F24*G24</f>
        <v>0</v>
      </c>
      <c r="I24" s="6"/>
    </row>
    <row r="25" spans="1:9" ht="12.75">
      <c r="A25" s="4"/>
      <c r="B25" s="5"/>
      <c r="C25" s="5"/>
      <c r="D25" s="5" t="s">
        <v>72</v>
      </c>
      <c r="E25" s="5"/>
      <c r="F25" s="85">
        <f>'Client Software Acquisition'!G25</f>
        <v>69</v>
      </c>
      <c r="G25" s="160">
        <f>'Client Software Acquisition'!H25</f>
        <v>2500</v>
      </c>
      <c r="H25" s="31">
        <f>F25*G25</f>
        <v>172500</v>
      </c>
      <c r="I25" s="6"/>
    </row>
    <row r="26" spans="1:9" ht="13.5" thickBot="1">
      <c r="A26" s="52"/>
      <c r="B26" s="22"/>
      <c r="C26" s="22"/>
      <c r="D26" s="22" t="s">
        <v>25</v>
      </c>
      <c r="E26" s="22"/>
      <c r="F26" s="85">
        <f>'Client Software Acquisition'!G26</f>
        <v>0</v>
      </c>
      <c r="G26" s="160">
        <f>'Client Software Acquisition'!H26</f>
        <v>0</v>
      </c>
      <c r="H26" s="35">
        <f>F26*G26</f>
        <v>0</v>
      </c>
      <c r="I26" s="6"/>
    </row>
    <row r="27" spans="1:9" ht="13.5" thickTop="1">
      <c r="A27" s="4"/>
      <c r="B27" s="5" t="s">
        <v>269</v>
      </c>
      <c r="C27" s="5"/>
      <c r="D27" s="5"/>
      <c r="E27" s="5"/>
      <c r="F27" s="31"/>
      <c r="G27" s="5"/>
      <c r="H27" s="31">
        <f>SUM(H23:H26)</f>
        <v>297500</v>
      </c>
      <c r="I27" s="6"/>
    </row>
    <row r="28" spans="1:9" ht="13.5" thickBot="1">
      <c r="A28" s="4"/>
      <c r="B28" s="5"/>
      <c r="C28" s="5"/>
      <c r="D28" s="5"/>
      <c r="E28" s="5"/>
      <c r="F28" s="31"/>
      <c r="G28" s="5"/>
      <c r="H28" s="5"/>
      <c r="I28" s="6"/>
    </row>
    <row r="29" spans="1:9" ht="14.25" thickBot="1" thickTop="1">
      <c r="A29" s="4"/>
      <c r="B29" s="37" t="s">
        <v>73</v>
      </c>
      <c r="C29" s="38"/>
      <c r="D29" s="38"/>
      <c r="E29" s="38"/>
      <c r="F29" s="53"/>
      <c r="G29" s="38"/>
      <c r="H29" s="39">
        <f>SUM(H27,H20,H14)</f>
        <v>1077500</v>
      </c>
      <c r="I29" s="6"/>
    </row>
    <row r="30" spans="1:9" ht="13.5" thickTop="1">
      <c r="A30" s="4"/>
      <c r="B30" s="5"/>
      <c r="C30" s="5"/>
      <c r="D30" s="5"/>
      <c r="E30" s="5"/>
      <c r="F30" s="5"/>
      <c r="G30" s="5"/>
      <c r="H30" s="5"/>
      <c r="I30" s="6"/>
    </row>
    <row r="31" spans="1:9" ht="12.75">
      <c r="A31" s="4"/>
      <c r="B31" s="5"/>
      <c r="C31" s="5"/>
      <c r="D31" s="5"/>
      <c r="E31" s="5"/>
      <c r="F31" s="5"/>
      <c r="G31" s="5"/>
      <c r="H31" s="5"/>
      <c r="I31" s="6"/>
    </row>
    <row r="32" spans="1:9" ht="13.5" thickBot="1">
      <c r="A32" s="7"/>
      <c r="B32" s="8"/>
      <c r="C32" s="8"/>
      <c r="D32" s="8"/>
      <c r="E32" s="8"/>
      <c r="F32" s="8"/>
      <c r="G32" s="8"/>
      <c r="H32" s="8"/>
      <c r="I32" s="9"/>
    </row>
    <row r="33"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2.xml><?xml version="1.0" encoding="utf-8"?>
<worksheet xmlns="http://schemas.openxmlformats.org/spreadsheetml/2006/main" xmlns:r="http://schemas.openxmlformats.org/officeDocument/2006/relationships">
  <sheetPr codeName="Sheet111">
    <pageSetUpPr fitToPage="1"/>
  </sheetPr>
  <dimension ref="A1:N70"/>
  <sheetViews>
    <sheetView showRowColHeaders="0" workbookViewId="0" topLeftCell="A1">
      <selection activeCell="A1" sqref="A1"/>
    </sheetView>
  </sheetViews>
  <sheetFormatPr defaultColWidth="9.140625" defaultRowHeight="12.75"/>
  <cols>
    <col min="6" max="6" width="9.28125" style="0" customWidth="1"/>
    <col min="7" max="7" width="15.8515625" style="0" customWidth="1"/>
    <col min="8" max="8" width="15.57421875" style="0" customWidth="1"/>
  </cols>
  <sheetData>
    <row r="1" spans="1:14" ht="12.75" customHeight="1">
      <c r="A1" s="305" t="s">
        <v>294</v>
      </c>
      <c r="B1" s="301"/>
      <c r="C1" s="301"/>
      <c r="D1" s="301"/>
      <c r="E1" s="301"/>
      <c r="F1" s="301"/>
      <c r="G1" s="301"/>
      <c r="H1" s="301"/>
      <c r="I1" s="301"/>
      <c r="J1" s="301"/>
      <c r="K1" s="301"/>
      <c r="L1" s="301"/>
      <c r="M1" s="301"/>
      <c r="N1" s="301"/>
    </row>
    <row r="2" spans="1:14" ht="12.75" customHeight="1" thickBot="1">
      <c r="A2" s="301"/>
      <c r="B2" s="301"/>
      <c r="C2" s="301"/>
      <c r="D2" s="301"/>
      <c r="E2" s="301"/>
      <c r="F2" s="301"/>
      <c r="G2" s="301"/>
      <c r="H2" s="301"/>
      <c r="I2" s="301"/>
      <c r="J2" s="301"/>
      <c r="K2" s="301"/>
      <c r="L2" s="301"/>
      <c r="M2" s="301"/>
      <c r="N2" s="301"/>
    </row>
    <row r="3" spans="1:14" ht="12.75" customHeight="1" thickTop="1">
      <c r="A3" s="301"/>
      <c r="B3" s="144" t="s">
        <v>604</v>
      </c>
      <c r="C3" s="3"/>
      <c r="D3" s="3"/>
      <c r="E3" s="3"/>
      <c r="F3" s="3"/>
      <c r="G3" s="3"/>
      <c r="H3" s="13"/>
      <c r="I3" s="301"/>
      <c r="J3" s="301"/>
      <c r="K3" s="301"/>
      <c r="L3" s="301"/>
      <c r="M3" s="301"/>
      <c r="N3" s="301"/>
    </row>
    <row r="4" spans="1:14" ht="12.75" customHeight="1">
      <c r="A4" s="301"/>
      <c r="B4" s="4"/>
      <c r="C4" s="5" t="s">
        <v>577</v>
      </c>
      <c r="D4" s="5"/>
      <c r="E4" s="5"/>
      <c r="F4" s="5"/>
      <c r="G4" s="5"/>
      <c r="H4" s="241">
        <v>35000</v>
      </c>
      <c r="I4" s="301"/>
      <c r="J4" s="301"/>
      <c r="K4" s="301"/>
      <c r="L4" s="301"/>
      <c r="M4" s="301"/>
      <c r="N4" s="301"/>
    </row>
    <row r="5" spans="1:14" ht="12.75" customHeight="1">
      <c r="A5" s="301"/>
      <c r="B5" s="4"/>
      <c r="C5" s="5" t="s">
        <v>578</v>
      </c>
      <c r="D5" s="5"/>
      <c r="E5" s="5"/>
      <c r="F5" s="5"/>
      <c r="G5" s="5"/>
      <c r="H5" s="241">
        <v>100000</v>
      </c>
      <c r="I5" s="301"/>
      <c r="J5" s="301"/>
      <c r="K5" s="301"/>
      <c r="L5" s="301"/>
      <c r="M5" s="301"/>
      <c r="N5" s="301"/>
    </row>
    <row r="6" spans="1:14" ht="12.75" customHeight="1">
      <c r="A6" s="301"/>
      <c r="B6" s="4"/>
      <c r="C6" s="5" t="s">
        <v>295</v>
      </c>
      <c r="D6" s="5"/>
      <c r="E6" s="5"/>
      <c r="F6" s="5"/>
      <c r="G6" s="5"/>
      <c r="H6" s="241">
        <v>10000</v>
      </c>
      <c r="I6" s="301"/>
      <c r="J6" s="301"/>
      <c r="K6" s="301"/>
      <c r="L6" s="301"/>
      <c r="M6" s="301"/>
      <c r="N6" s="301"/>
    </row>
    <row r="7" spans="1:14" ht="12.75" customHeight="1">
      <c r="A7" s="301"/>
      <c r="B7" s="4"/>
      <c r="C7" s="5" t="s">
        <v>296</v>
      </c>
      <c r="D7" s="5"/>
      <c r="E7" s="5"/>
      <c r="F7" s="5"/>
      <c r="G7" s="5"/>
      <c r="H7" s="241">
        <v>10000</v>
      </c>
      <c r="I7" s="301"/>
      <c r="J7" s="301"/>
      <c r="K7" s="301"/>
      <c r="L7" s="301"/>
      <c r="M7" s="301"/>
      <c r="N7" s="301"/>
    </row>
    <row r="8" spans="1:14" ht="12.75" customHeight="1">
      <c r="A8" s="301"/>
      <c r="B8" s="4"/>
      <c r="C8" s="5" t="s">
        <v>297</v>
      </c>
      <c r="D8" s="5"/>
      <c r="E8" s="5"/>
      <c r="F8" s="5"/>
      <c r="G8" s="5"/>
      <c r="H8" s="241">
        <v>10000</v>
      </c>
      <c r="I8" s="301"/>
      <c r="J8" s="301"/>
      <c r="K8" s="301"/>
      <c r="L8" s="301"/>
      <c r="M8" s="301"/>
      <c r="N8" s="301"/>
    </row>
    <row r="9" spans="1:14" ht="12.75" customHeight="1" thickBot="1">
      <c r="A9" s="301"/>
      <c r="B9" s="7"/>
      <c r="C9" s="8"/>
      <c r="D9" s="8"/>
      <c r="E9" s="8"/>
      <c r="F9" s="8"/>
      <c r="G9" s="8"/>
      <c r="H9" s="9"/>
      <c r="I9" s="301"/>
      <c r="J9" s="301"/>
      <c r="K9" s="301"/>
      <c r="L9" s="301"/>
      <c r="M9" s="301"/>
      <c r="N9" s="301"/>
    </row>
    <row r="10" spans="1:14" ht="12.75" customHeight="1" thickTop="1">
      <c r="A10" s="301"/>
      <c r="B10" s="58" t="s">
        <v>579</v>
      </c>
      <c r="C10" s="5"/>
      <c r="D10" s="5"/>
      <c r="E10" s="5"/>
      <c r="F10" s="5"/>
      <c r="G10" s="5" t="s">
        <v>319</v>
      </c>
      <c r="H10" s="6" t="s">
        <v>248</v>
      </c>
      <c r="I10" s="301"/>
      <c r="J10" s="301"/>
      <c r="K10" s="301"/>
      <c r="L10" s="301"/>
      <c r="M10" s="301"/>
      <c r="N10" s="301"/>
    </row>
    <row r="11" spans="1:14" ht="12.75" customHeight="1">
      <c r="A11" s="301"/>
      <c r="B11" s="4"/>
      <c r="C11" s="76" t="s">
        <v>27</v>
      </c>
      <c r="D11" s="5"/>
      <c r="E11" s="5"/>
      <c r="F11" s="5"/>
      <c r="G11" s="88">
        <v>1</v>
      </c>
      <c r="H11" s="241">
        <v>55000</v>
      </c>
      <c r="I11" s="301"/>
      <c r="J11" s="301"/>
      <c r="K11" s="301"/>
      <c r="L11" s="301"/>
      <c r="M11" s="301"/>
      <c r="N11" s="301"/>
    </row>
    <row r="12" spans="1:14" ht="12.75" customHeight="1">
      <c r="A12" s="301"/>
      <c r="B12" s="4"/>
      <c r="C12" s="76" t="s">
        <v>28</v>
      </c>
      <c r="D12" s="5"/>
      <c r="E12" s="5"/>
      <c r="F12" s="5"/>
      <c r="G12" s="185">
        <f>'Front End'!G9</f>
        <v>10</v>
      </c>
      <c r="H12" s="241">
        <v>45000</v>
      </c>
      <c r="I12" s="301"/>
      <c r="J12" s="301"/>
      <c r="K12" s="301"/>
      <c r="L12" s="301"/>
      <c r="M12" s="301"/>
      <c r="N12" s="301"/>
    </row>
    <row r="13" spans="1:14" ht="12.75" customHeight="1">
      <c r="A13" s="301"/>
      <c r="B13" s="4"/>
      <c r="C13" s="76" t="s">
        <v>29</v>
      </c>
      <c r="D13" s="5"/>
      <c r="E13" s="5"/>
      <c r="F13" s="5"/>
      <c r="G13" s="88">
        <v>1</v>
      </c>
      <c r="H13" s="241">
        <v>65000</v>
      </c>
      <c r="I13" s="301"/>
      <c r="J13" s="301"/>
      <c r="K13" s="301"/>
      <c r="L13" s="301"/>
      <c r="M13" s="301"/>
      <c r="N13" s="301"/>
    </row>
    <row r="14" spans="1:14" ht="12.75" customHeight="1">
      <c r="A14" s="301"/>
      <c r="B14" s="4"/>
      <c r="C14" s="59" t="s">
        <v>30</v>
      </c>
      <c r="D14" s="5"/>
      <c r="E14" s="5"/>
      <c r="F14" s="5"/>
      <c r="G14" s="88">
        <v>0</v>
      </c>
      <c r="H14" s="241">
        <v>80000</v>
      </c>
      <c r="I14" s="301"/>
      <c r="J14" s="301"/>
      <c r="K14" s="301"/>
      <c r="L14" s="301"/>
      <c r="M14" s="301"/>
      <c r="N14" s="301"/>
    </row>
    <row r="15" spans="1:14" ht="12.75" customHeight="1">
      <c r="A15" s="301"/>
      <c r="B15" s="4"/>
      <c r="C15" s="76" t="s">
        <v>519</v>
      </c>
      <c r="D15" s="5"/>
      <c r="E15" s="5"/>
      <c r="F15" s="5"/>
      <c r="G15" s="185">
        <f>'Front End'!G13</f>
        <v>5</v>
      </c>
      <c r="H15" s="241">
        <v>65000</v>
      </c>
      <c r="I15" s="301"/>
      <c r="J15" s="301"/>
      <c r="K15" s="301"/>
      <c r="L15" s="301"/>
      <c r="M15" s="301"/>
      <c r="N15" s="301"/>
    </row>
    <row r="16" spans="1:14" ht="12.75" customHeight="1">
      <c r="A16" s="301"/>
      <c r="B16" s="4"/>
      <c r="C16" s="76" t="s">
        <v>32</v>
      </c>
      <c r="D16" s="5"/>
      <c r="E16" s="5"/>
      <c r="F16" s="5"/>
      <c r="G16" s="88">
        <v>0</v>
      </c>
      <c r="H16" s="241">
        <v>80000</v>
      </c>
      <c r="I16" s="301"/>
      <c r="J16" s="301"/>
      <c r="K16" s="301"/>
      <c r="L16" s="301"/>
      <c r="M16" s="301"/>
      <c r="N16" s="301"/>
    </row>
    <row r="17" spans="1:14" ht="12.75" customHeight="1">
      <c r="A17" s="301"/>
      <c r="B17" s="4"/>
      <c r="C17" s="76" t="s">
        <v>33</v>
      </c>
      <c r="D17" s="5"/>
      <c r="E17" s="5"/>
      <c r="F17" s="5"/>
      <c r="G17" s="183">
        <f>'Front End'!G15</f>
        <v>5</v>
      </c>
      <c r="H17" s="241">
        <v>68500</v>
      </c>
      <c r="I17" s="301"/>
      <c r="J17" s="301"/>
      <c r="K17" s="301"/>
      <c r="L17" s="301"/>
      <c r="M17" s="301"/>
      <c r="N17" s="301"/>
    </row>
    <row r="18" spans="1:14" ht="12.75" customHeight="1">
      <c r="A18" s="301"/>
      <c r="B18" s="4"/>
      <c r="C18" s="76" t="s">
        <v>580</v>
      </c>
      <c r="D18" s="5"/>
      <c r="E18" s="5"/>
      <c r="F18" s="5"/>
      <c r="G18" s="184">
        <f>'Front End'!G11</f>
        <v>25</v>
      </c>
      <c r="H18" s="241">
        <v>52000</v>
      </c>
      <c r="I18" s="301"/>
      <c r="J18" s="301"/>
      <c r="K18" s="301"/>
      <c r="L18" s="301"/>
      <c r="M18" s="301"/>
      <c r="N18" s="301"/>
    </row>
    <row r="19" spans="1:14" ht="12.75" customHeight="1">
      <c r="A19" s="301"/>
      <c r="B19" s="4"/>
      <c r="C19" s="76" t="s">
        <v>290</v>
      </c>
      <c r="D19" s="5"/>
      <c r="E19" s="5"/>
      <c r="F19" s="5"/>
      <c r="G19" s="88">
        <v>1</v>
      </c>
      <c r="H19" s="241">
        <v>75000</v>
      </c>
      <c r="I19" s="301"/>
      <c r="J19" s="301"/>
      <c r="K19" s="301"/>
      <c r="L19" s="301"/>
      <c r="M19" s="301"/>
      <c r="N19" s="301"/>
    </row>
    <row r="20" spans="1:14" ht="12.75" customHeight="1">
      <c r="A20" s="301"/>
      <c r="B20" s="4"/>
      <c r="C20" s="76" t="s">
        <v>293</v>
      </c>
      <c r="D20" s="5"/>
      <c r="E20" s="5"/>
      <c r="F20" s="5"/>
      <c r="G20" s="88">
        <v>0</v>
      </c>
      <c r="H20" s="241">
        <v>80000</v>
      </c>
      <c r="I20" s="301"/>
      <c r="J20" s="301"/>
      <c r="K20" s="301"/>
      <c r="L20" s="301"/>
      <c r="M20" s="301"/>
      <c r="N20" s="301"/>
    </row>
    <row r="21" spans="1:14" ht="12.75" customHeight="1">
      <c r="A21" s="301"/>
      <c r="B21" s="4"/>
      <c r="C21" s="76" t="s">
        <v>34</v>
      </c>
      <c r="D21" s="5"/>
      <c r="E21" s="5"/>
      <c r="F21" s="5"/>
      <c r="G21" s="88">
        <v>1</v>
      </c>
      <c r="H21" s="241">
        <v>43500</v>
      </c>
      <c r="I21" s="301"/>
      <c r="J21" s="301"/>
      <c r="K21" s="301"/>
      <c r="L21" s="301"/>
      <c r="M21" s="301"/>
      <c r="N21" s="301"/>
    </row>
    <row r="22" spans="1:14" ht="12.75" customHeight="1">
      <c r="A22" s="301"/>
      <c r="B22" s="4"/>
      <c r="C22" s="59"/>
      <c r="D22" s="5"/>
      <c r="E22" s="5"/>
      <c r="F22" s="5"/>
      <c r="G22" s="5"/>
      <c r="H22" s="6"/>
      <c r="I22" s="301"/>
      <c r="J22" s="301"/>
      <c r="K22" s="301"/>
      <c r="L22" s="301"/>
      <c r="M22" s="301"/>
      <c r="N22" s="301"/>
    </row>
    <row r="23" spans="1:14" ht="12.75" customHeight="1">
      <c r="A23" s="301"/>
      <c r="B23" s="4"/>
      <c r="C23" s="76" t="s">
        <v>35</v>
      </c>
      <c r="D23" s="5"/>
      <c r="E23" s="5"/>
      <c r="F23" s="5"/>
      <c r="G23" s="5"/>
      <c r="H23" s="102">
        <v>0.33</v>
      </c>
      <c r="I23" s="301"/>
      <c r="J23" s="301"/>
      <c r="K23" s="301"/>
      <c r="L23" s="301"/>
      <c r="M23" s="301"/>
      <c r="N23" s="301"/>
    </row>
    <row r="24" spans="1:14" ht="12.75" customHeight="1" thickBot="1">
      <c r="A24" s="301"/>
      <c r="B24" s="7"/>
      <c r="C24" s="8"/>
      <c r="D24" s="8"/>
      <c r="E24" s="8"/>
      <c r="F24" s="8"/>
      <c r="G24" s="8"/>
      <c r="H24" s="9"/>
      <c r="I24" s="301"/>
      <c r="J24" s="301"/>
      <c r="K24" s="301"/>
      <c r="L24" s="301"/>
      <c r="M24" s="301"/>
      <c r="N24" s="301"/>
    </row>
    <row r="25" spans="1:14" ht="12.75" customHeight="1" thickTop="1">
      <c r="A25" s="301"/>
      <c r="B25" s="58" t="s">
        <v>581</v>
      </c>
      <c r="C25" s="5"/>
      <c r="D25" s="5"/>
      <c r="E25" s="5"/>
      <c r="F25" s="5"/>
      <c r="G25" s="5"/>
      <c r="H25" s="145" t="s">
        <v>268</v>
      </c>
      <c r="I25" s="301"/>
      <c r="J25" s="301"/>
      <c r="K25" s="301"/>
      <c r="L25" s="301"/>
      <c r="M25" s="301"/>
      <c r="N25" s="301"/>
    </row>
    <row r="26" spans="1:14" ht="12.75" customHeight="1">
      <c r="A26" s="301"/>
      <c r="B26" s="4"/>
      <c r="C26" s="5" t="s">
        <v>225</v>
      </c>
      <c r="D26" s="5"/>
      <c r="E26" s="5"/>
      <c r="F26" s="5"/>
      <c r="G26" s="5"/>
      <c r="H26" s="241">
        <v>60000</v>
      </c>
      <c r="I26" s="301"/>
      <c r="J26" s="301"/>
      <c r="K26" s="301"/>
      <c r="L26" s="301"/>
      <c r="M26" s="301"/>
      <c r="N26" s="301"/>
    </row>
    <row r="27" spans="1:14" ht="12.75" customHeight="1">
      <c r="A27" s="301"/>
      <c r="B27" s="4"/>
      <c r="C27" s="5" t="s">
        <v>226</v>
      </c>
      <c r="D27" s="5"/>
      <c r="E27" s="5"/>
      <c r="F27" s="95"/>
      <c r="G27" s="146"/>
      <c r="H27" s="241">
        <v>30000</v>
      </c>
      <c r="I27" s="301"/>
      <c r="J27" s="301"/>
      <c r="K27" s="301"/>
      <c r="L27" s="301"/>
      <c r="M27" s="301"/>
      <c r="N27" s="301"/>
    </row>
    <row r="28" spans="1:14" ht="12.75" customHeight="1">
      <c r="A28" s="301"/>
      <c r="B28" s="58" t="s">
        <v>605</v>
      </c>
      <c r="C28" s="5"/>
      <c r="D28" s="5"/>
      <c r="E28" s="5"/>
      <c r="F28" s="95"/>
      <c r="G28" s="101" t="s">
        <v>160</v>
      </c>
      <c r="H28" s="145" t="s">
        <v>161</v>
      </c>
      <c r="I28" s="301"/>
      <c r="J28" s="301"/>
      <c r="K28" s="301"/>
      <c r="L28" s="301"/>
      <c r="M28" s="301"/>
      <c r="N28" s="301"/>
    </row>
    <row r="29" spans="1:14" ht="12.75" customHeight="1">
      <c r="A29" s="301"/>
      <c r="B29" s="4"/>
      <c r="C29" s="5" t="s">
        <v>122</v>
      </c>
      <c r="D29" s="5"/>
      <c r="E29" s="5"/>
      <c r="F29" s="5"/>
      <c r="G29" s="243">
        <v>2000</v>
      </c>
      <c r="H29" s="241">
        <v>250</v>
      </c>
      <c r="I29" s="301"/>
      <c r="J29" s="301"/>
      <c r="K29" s="301"/>
      <c r="L29" s="301"/>
      <c r="M29" s="301"/>
      <c r="N29" s="301"/>
    </row>
    <row r="30" spans="1:14" ht="12.75" customHeight="1">
      <c r="A30" s="301"/>
      <c r="B30" s="4"/>
      <c r="C30" s="5" t="s">
        <v>257</v>
      </c>
      <c r="D30" s="5"/>
      <c r="E30" s="5"/>
      <c r="F30" s="5"/>
      <c r="G30" s="243">
        <v>1500</v>
      </c>
      <c r="H30" s="241">
        <v>300</v>
      </c>
      <c r="I30" s="301"/>
      <c r="J30" s="301"/>
      <c r="K30" s="301"/>
      <c r="L30" s="301"/>
      <c r="M30" s="301"/>
      <c r="N30" s="301"/>
    </row>
    <row r="31" spans="1:14" ht="12.75" customHeight="1">
      <c r="A31" s="301"/>
      <c r="B31" s="4"/>
      <c r="C31" s="5" t="s">
        <v>123</v>
      </c>
      <c r="D31" s="5"/>
      <c r="E31" s="5"/>
      <c r="F31" s="5"/>
      <c r="G31" s="243">
        <v>800</v>
      </c>
      <c r="H31" s="241">
        <v>500</v>
      </c>
      <c r="I31" s="301"/>
      <c r="J31" s="301"/>
      <c r="K31" s="301"/>
      <c r="L31" s="301"/>
      <c r="M31" s="301"/>
      <c r="N31" s="301"/>
    </row>
    <row r="32" spans="1:14" ht="12.75" customHeight="1">
      <c r="A32" s="301"/>
      <c r="B32" s="4"/>
      <c r="C32" s="5" t="s">
        <v>124</v>
      </c>
      <c r="D32" s="5"/>
      <c r="E32" s="5"/>
      <c r="F32" s="5"/>
      <c r="G32" s="243">
        <v>0</v>
      </c>
      <c r="H32" s="241">
        <v>200</v>
      </c>
      <c r="I32" s="301"/>
      <c r="J32" s="301"/>
      <c r="K32" s="301"/>
      <c r="L32" s="301"/>
      <c r="M32" s="301"/>
      <c r="N32" s="301"/>
    </row>
    <row r="33" spans="1:14" ht="12.75" customHeight="1">
      <c r="A33" s="301"/>
      <c r="B33" s="4"/>
      <c r="C33" s="5" t="s">
        <v>125</v>
      </c>
      <c r="D33" s="5"/>
      <c r="E33" s="5"/>
      <c r="F33" s="5"/>
      <c r="G33" s="243">
        <v>0</v>
      </c>
      <c r="H33" s="241">
        <v>0</v>
      </c>
      <c r="I33" s="301"/>
      <c r="J33" s="301"/>
      <c r="K33" s="301"/>
      <c r="L33" s="301"/>
      <c r="M33" s="301"/>
      <c r="N33" s="301"/>
    </row>
    <row r="34" spans="1:14" ht="12.75" customHeight="1">
      <c r="A34" s="301"/>
      <c r="B34" s="58" t="s">
        <v>606</v>
      </c>
      <c r="C34" s="5"/>
      <c r="D34" s="5"/>
      <c r="E34" s="5"/>
      <c r="F34" s="5"/>
      <c r="G34" s="5"/>
      <c r="H34" s="6"/>
      <c r="I34" s="301"/>
      <c r="J34" s="301"/>
      <c r="K34" s="301"/>
      <c r="L34" s="301"/>
      <c r="M34" s="301"/>
      <c r="N34" s="301"/>
    </row>
    <row r="35" spans="1:14" ht="12.75" customHeight="1">
      <c r="A35" s="301"/>
      <c r="B35" s="4"/>
      <c r="C35" s="5" t="s">
        <v>171</v>
      </c>
      <c r="D35" s="5"/>
      <c r="E35" s="5"/>
      <c r="F35" s="5"/>
      <c r="G35" s="243">
        <v>100</v>
      </c>
      <c r="H35" s="241">
        <v>35</v>
      </c>
      <c r="I35" s="301"/>
      <c r="J35" s="301"/>
      <c r="K35" s="301"/>
      <c r="L35" s="301"/>
      <c r="M35" s="301"/>
      <c r="N35" s="301"/>
    </row>
    <row r="36" spans="1:14" ht="12.75" customHeight="1">
      <c r="A36" s="301"/>
      <c r="B36" s="4"/>
      <c r="C36" s="5" t="s">
        <v>17</v>
      </c>
      <c r="D36" s="5"/>
      <c r="E36" s="5"/>
      <c r="F36" s="5"/>
      <c r="G36" s="243">
        <v>150</v>
      </c>
      <c r="H36" s="241">
        <v>50</v>
      </c>
      <c r="I36" s="301"/>
      <c r="J36" s="301"/>
      <c r="K36" s="301"/>
      <c r="L36" s="301"/>
      <c r="M36" s="301"/>
      <c r="N36" s="301"/>
    </row>
    <row r="37" spans="1:14" ht="12.75" customHeight="1">
      <c r="A37" s="301"/>
      <c r="B37" s="4"/>
      <c r="C37" s="5" t="s">
        <v>20</v>
      </c>
      <c r="D37" s="5"/>
      <c r="E37" s="5"/>
      <c r="F37" s="5"/>
      <c r="G37" s="243">
        <v>120</v>
      </c>
      <c r="H37" s="241">
        <v>60</v>
      </c>
      <c r="I37" s="301"/>
      <c r="J37" s="301"/>
      <c r="K37" s="301"/>
      <c r="L37" s="301"/>
      <c r="M37" s="301"/>
      <c r="N37" s="301"/>
    </row>
    <row r="38" spans="1:14" ht="12.75" customHeight="1">
      <c r="A38" s="301"/>
      <c r="B38" s="58" t="s">
        <v>607</v>
      </c>
      <c r="C38" s="5"/>
      <c r="D38" s="5"/>
      <c r="E38" s="5"/>
      <c r="F38" s="128"/>
      <c r="G38" s="5"/>
      <c r="H38" s="6"/>
      <c r="I38" s="301"/>
      <c r="J38" s="301"/>
      <c r="K38" s="301"/>
      <c r="L38" s="301"/>
      <c r="M38" s="301"/>
      <c r="N38" s="301"/>
    </row>
    <row r="39" spans="1:14" ht="12.75" customHeight="1">
      <c r="A39" s="301"/>
      <c r="B39" s="346"/>
      <c r="C39" s="347" t="s">
        <v>20</v>
      </c>
      <c r="D39" s="5"/>
      <c r="E39" s="5"/>
      <c r="F39" s="5"/>
      <c r="G39" s="243">
        <v>120</v>
      </c>
      <c r="H39" s="241">
        <v>150</v>
      </c>
      <c r="I39" s="301"/>
      <c r="J39" s="301"/>
      <c r="K39" s="301"/>
      <c r="L39" s="301"/>
      <c r="M39" s="301"/>
      <c r="N39" s="301"/>
    </row>
    <row r="40" spans="1:14" ht="12.75" customHeight="1">
      <c r="A40" s="301"/>
      <c r="B40" s="346"/>
      <c r="C40" s="347" t="s">
        <v>234</v>
      </c>
      <c r="D40" s="5"/>
      <c r="E40" s="5"/>
      <c r="F40" s="5"/>
      <c r="G40" s="243">
        <v>350</v>
      </c>
      <c r="H40" s="241">
        <v>550</v>
      </c>
      <c r="I40" s="301"/>
      <c r="J40" s="301"/>
      <c r="K40" s="301"/>
      <c r="L40" s="301"/>
      <c r="M40" s="301"/>
      <c r="N40" s="301"/>
    </row>
    <row r="41" spans="1:14" ht="12.75" customHeight="1">
      <c r="A41" s="301"/>
      <c r="B41" s="346"/>
      <c r="C41" s="347" t="s">
        <v>14</v>
      </c>
      <c r="D41" s="5"/>
      <c r="E41" s="5"/>
      <c r="F41" s="5"/>
      <c r="G41" s="243">
        <v>350</v>
      </c>
      <c r="H41" s="241">
        <v>1000</v>
      </c>
      <c r="I41" s="301"/>
      <c r="J41" s="301"/>
      <c r="K41" s="301"/>
      <c r="L41" s="301"/>
      <c r="M41" s="301"/>
      <c r="N41" s="301"/>
    </row>
    <row r="42" spans="1:14" ht="12.75" customHeight="1">
      <c r="A42" s="301"/>
      <c r="B42" s="346"/>
      <c r="C42" s="347" t="s">
        <v>185</v>
      </c>
      <c r="D42" s="5"/>
      <c r="E42" s="5"/>
      <c r="F42" s="5"/>
      <c r="G42" s="243">
        <v>350</v>
      </c>
      <c r="H42" s="241">
        <v>1300</v>
      </c>
      <c r="I42" s="301"/>
      <c r="J42" s="301"/>
      <c r="K42" s="301"/>
      <c r="L42" s="301"/>
      <c r="M42" s="301"/>
      <c r="N42" s="301"/>
    </row>
    <row r="43" spans="1:14" ht="12.75" customHeight="1">
      <c r="A43" s="301"/>
      <c r="B43" s="346"/>
      <c r="C43" s="347" t="s">
        <v>186</v>
      </c>
      <c r="D43" s="5"/>
      <c r="E43" s="5"/>
      <c r="F43" s="5"/>
      <c r="G43" s="243">
        <v>350</v>
      </c>
      <c r="H43" s="241">
        <v>2000</v>
      </c>
      <c r="I43" s="301"/>
      <c r="J43" s="301"/>
      <c r="K43" s="301"/>
      <c r="L43" s="301"/>
      <c r="M43" s="301"/>
      <c r="N43" s="301"/>
    </row>
    <row r="44" spans="1:14" ht="12.75" customHeight="1">
      <c r="A44" s="301"/>
      <c r="B44" s="182" t="s">
        <v>608</v>
      </c>
      <c r="C44" s="101"/>
      <c r="D44" s="5"/>
      <c r="E44" s="5"/>
      <c r="F44" s="5"/>
      <c r="G44" s="243">
        <v>250</v>
      </c>
      <c r="H44" s="241">
        <v>20000</v>
      </c>
      <c r="I44" s="301"/>
      <c r="J44" s="301"/>
      <c r="K44" s="301"/>
      <c r="L44" s="301"/>
      <c r="M44" s="301"/>
      <c r="N44" s="301"/>
    </row>
    <row r="45" spans="1:14" ht="12.75" customHeight="1">
      <c r="A45" s="301"/>
      <c r="B45" s="58" t="s">
        <v>582</v>
      </c>
      <c r="C45" s="5"/>
      <c r="D45" s="5"/>
      <c r="E45" s="5"/>
      <c r="F45" s="5"/>
      <c r="G45" s="105"/>
      <c r="H45" s="147"/>
      <c r="I45" s="301"/>
      <c r="J45" s="301"/>
      <c r="K45" s="301"/>
      <c r="L45" s="301"/>
      <c r="M45" s="301"/>
      <c r="N45" s="301"/>
    </row>
    <row r="46" spans="1:14" ht="12.75" customHeight="1">
      <c r="A46" s="301"/>
      <c r="B46" s="4"/>
      <c r="C46" s="101" t="s">
        <v>14</v>
      </c>
      <c r="D46" s="5"/>
      <c r="E46" s="5"/>
      <c r="F46" s="5"/>
      <c r="G46" s="243">
        <v>350</v>
      </c>
      <c r="H46" s="241">
        <v>1000</v>
      </c>
      <c r="I46" s="301"/>
      <c r="J46" s="301"/>
      <c r="K46" s="301"/>
      <c r="L46" s="301"/>
      <c r="M46" s="301"/>
      <c r="N46" s="301"/>
    </row>
    <row r="47" spans="1:14" ht="12.75" customHeight="1">
      <c r="A47" s="301"/>
      <c r="B47" s="4"/>
      <c r="C47" s="101" t="s">
        <v>185</v>
      </c>
      <c r="D47" s="5"/>
      <c r="E47" s="5"/>
      <c r="F47" s="5"/>
      <c r="G47" s="243">
        <v>350</v>
      </c>
      <c r="H47" s="241">
        <v>1300</v>
      </c>
      <c r="I47" s="301"/>
      <c r="J47" s="301"/>
      <c r="K47" s="301"/>
      <c r="L47" s="301"/>
      <c r="M47" s="301"/>
      <c r="N47" s="301"/>
    </row>
    <row r="48" spans="1:14" ht="12.75" customHeight="1">
      <c r="A48" s="301"/>
      <c r="B48" s="4"/>
      <c r="C48" s="101" t="s">
        <v>186</v>
      </c>
      <c r="D48" s="5"/>
      <c r="E48" s="5"/>
      <c r="F48" s="5"/>
      <c r="G48" s="243">
        <v>350</v>
      </c>
      <c r="H48" s="241">
        <v>0</v>
      </c>
      <c r="I48" s="301"/>
      <c r="J48" s="301"/>
      <c r="K48" s="301"/>
      <c r="L48" s="301"/>
      <c r="M48" s="301"/>
      <c r="N48" s="301"/>
    </row>
    <row r="49" spans="1:14" ht="12.75" customHeight="1">
      <c r="A49" s="301"/>
      <c r="B49" s="58" t="s">
        <v>583</v>
      </c>
      <c r="C49" s="5"/>
      <c r="D49" s="5"/>
      <c r="E49" s="5"/>
      <c r="F49" s="5"/>
      <c r="G49" s="5"/>
      <c r="H49" s="6"/>
      <c r="I49" s="301"/>
      <c r="J49" s="301"/>
      <c r="K49" s="301"/>
      <c r="L49" s="301"/>
      <c r="M49" s="301"/>
      <c r="N49" s="301"/>
    </row>
    <row r="50" spans="1:14" ht="12.75" customHeight="1">
      <c r="A50" s="301"/>
      <c r="B50" s="4"/>
      <c r="C50" s="5" t="s">
        <v>584</v>
      </c>
      <c r="D50" s="5"/>
      <c r="E50" s="5"/>
      <c r="F50" s="5"/>
      <c r="G50" s="5"/>
      <c r="H50" s="241">
        <v>0</v>
      </c>
      <c r="I50" s="301"/>
      <c r="J50" s="301"/>
      <c r="K50" s="301"/>
      <c r="L50" s="301"/>
      <c r="M50" s="301"/>
      <c r="N50" s="301"/>
    </row>
    <row r="51" spans="1:14" ht="12.75" customHeight="1">
      <c r="A51" s="301"/>
      <c r="B51" s="4"/>
      <c r="C51" s="5" t="s">
        <v>585</v>
      </c>
      <c r="D51" s="5"/>
      <c r="E51" s="5"/>
      <c r="F51" s="5"/>
      <c r="G51" s="5"/>
      <c r="H51" s="241">
        <v>0</v>
      </c>
      <c r="I51" s="301"/>
      <c r="J51" s="301"/>
      <c r="K51" s="301"/>
      <c r="L51" s="301"/>
      <c r="M51" s="301"/>
      <c r="N51" s="301"/>
    </row>
    <row r="52" spans="1:14" ht="12.75" customHeight="1" thickBot="1">
      <c r="A52" s="301"/>
      <c r="B52" s="7"/>
      <c r="C52" s="8"/>
      <c r="D52" s="8"/>
      <c r="E52" s="8"/>
      <c r="F52" s="8"/>
      <c r="G52" s="8"/>
      <c r="H52" s="246"/>
      <c r="I52" s="301"/>
      <c r="J52" s="301"/>
      <c r="K52" s="301"/>
      <c r="L52" s="301"/>
      <c r="M52" s="301"/>
      <c r="N52" s="301"/>
    </row>
    <row r="53" spans="1:14" ht="12.75" customHeight="1" thickTop="1">
      <c r="A53" s="301"/>
      <c r="B53" s="4"/>
      <c r="C53" s="5"/>
      <c r="D53" s="5"/>
      <c r="E53" s="5"/>
      <c r="F53" s="5"/>
      <c r="G53" s="5"/>
      <c r="H53" s="71"/>
      <c r="I53" s="301"/>
      <c r="J53" s="301"/>
      <c r="K53" s="301"/>
      <c r="L53" s="301"/>
      <c r="M53" s="301"/>
      <c r="N53" s="301"/>
    </row>
    <row r="54" spans="1:14" ht="12.75" customHeight="1">
      <c r="A54" s="301"/>
      <c r="B54" s="4"/>
      <c r="C54" s="5"/>
      <c r="D54" s="5"/>
      <c r="E54" s="5"/>
      <c r="F54" s="5"/>
      <c r="G54" s="5"/>
      <c r="H54" s="6"/>
      <c r="I54" s="301"/>
      <c r="J54" s="301"/>
      <c r="K54" s="301"/>
      <c r="L54" s="301"/>
      <c r="M54" s="301"/>
      <c r="N54" s="301"/>
    </row>
    <row r="55" spans="1:14" ht="12.75" customHeight="1">
      <c r="A55" s="301"/>
      <c r="B55" s="4"/>
      <c r="C55" s="5"/>
      <c r="D55" s="5"/>
      <c r="E55" s="5"/>
      <c r="F55" s="5"/>
      <c r="G55" s="5"/>
      <c r="H55" s="6"/>
      <c r="I55" s="301"/>
      <c r="J55" s="301"/>
      <c r="K55" s="301"/>
      <c r="L55" s="301"/>
      <c r="M55" s="301"/>
      <c r="N55" s="301"/>
    </row>
    <row r="56" spans="1:14" ht="12.75" customHeight="1">
      <c r="A56" s="301"/>
      <c r="B56" s="4"/>
      <c r="C56" s="5"/>
      <c r="D56" s="5"/>
      <c r="E56" s="5"/>
      <c r="F56" s="5"/>
      <c r="G56" s="5"/>
      <c r="H56" s="6"/>
      <c r="I56" s="301"/>
      <c r="J56" s="301"/>
      <c r="K56" s="301"/>
      <c r="L56" s="301"/>
      <c r="M56" s="301"/>
      <c r="N56" s="301"/>
    </row>
    <row r="57" spans="1:14" ht="12.75" customHeight="1">
      <c r="A57" s="301"/>
      <c r="B57" s="4"/>
      <c r="C57" s="5"/>
      <c r="D57" s="5"/>
      <c r="E57" s="5"/>
      <c r="F57" s="5"/>
      <c r="G57" s="5"/>
      <c r="H57" s="6"/>
      <c r="I57" s="301"/>
      <c r="J57" s="301"/>
      <c r="K57" s="301"/>
      <c r="L57" s="301"/>
      <c r="M57" s="301"/>
      <c r="N57" s="301"/>
    </row>
    <row r="58" spans="1:14" ht="12.75" customHeight="1" thickBot="1">
      <c r="A58" s="301"/>
      <c r="B58" s="7"/>
      <c r="C58" s="8"/>
      <c r="D58" s="8"/>
      <c r="E58" s="8"/>
      <c r="F58" s="8"/>
      <c r="G58" s="8"/>
      <c r="H58" s="9"/>
      <c r="I58" s="301"/>
      <c r="J58" s="301"/>
      <c r="K58" s="301"/>
      <c r="L58" s="301"/>
      <c r="M58" s="301"/>
      <c r="N58" s="301"/>
    </row>
    <row r="59" spans="1:14" ht="12.75" customHeight="1" thickTop="1">
      <c r="A59" s="301"/>
      <c r="B59" s="301"/>
      <c r="C59" s="301"/>
      <c r="D59" s="301"/>
      <c r="E59" s="301"/>
      <c r="F59" s="301"/>
      <c r="G59" s="301"/>
      <c r="H59" s="301"/>
      <c r="I59" s="301"/>
      <c r="J59" s="301"/>
      <c r="K59" s="301"/>
      <c r="L59" s="301"/>
      <c r="M59" s="301"/>
      <c r="N59" s="301"/>
    </row>
    <row r="60" spans="1:14" ht="12.75" customHeight="1">
      <c r="A60" s="301"/>
      <c r="B60" s="301"/>
      <c r="C60" s="301"/>
      <c r="D60" s="301"/>
      <c r="E60" s="301"/>
      <c r="F60" s="301"/>
      <c r="G60" s="301"/>
      <c r="H60" s="301"/>
      <c r="I60" s="301"/>
      <c r="J60" s="301"/>
      <c r="K60" s="301"/>
      <c r="L60" s="301"/>
      <c r="M60" s="301"/>
      <c r="N60" s="301"/>
    </row>
    <row r="61" spans="1:14" ht="12.75" customHeight="1">
      <c r="A61" s="301"/>
      <c r="B61" s="301"/>
      <c r="C61" s="301"/>
      <c r="D61" s="301"/>
      <c r="E61" s="301"/>
      <c r="F61" s="301"/>
      <c r="G61" s="301"/>
      <c r="H61" s="301"/>
      <c r="I61" s="301"/>
      <c r="J61" s="301"/>
      <c r="K61" s="301"/>
      <c r="L61" s="301"/>
      <c r="M61" s="301"/>
      <c r="N61" s="301"/>
    </row>
    <row r="62" spans="1:14" ht="12.75" customHeight="1">
      <c r="A62" s="301"/>
      <c r="B62" s="301"/>
      <c r="C62" s="301"/>
      <c r="D62" s="301"/>
      <c r="E62" s="301"/>
      <c r="F62" s="301"/>
      <c r="G62" s="301"/>
      <c r="H62" s="301"/>
      <c r="I62" s="301"/>
      <c r="J62" s="301"/>
      <c r="K62" s="301"/>
      <c r="L62" s="301"/>
      <c r="M62" s="301"/>
      <c r="N62" s="301"/>
    </row>
    <row r="63" spans="1:14" ht="12.75" customHeight="1">
      <c r="A63" s="301"/>
      <c r="B63" s="301"/>
      <c r="C63" s="301"/>
      <c r="D63" s="301"/>
      <c r="E63" s="301"/>
      <c r="F63" s="301"/>
      <c r="G63" s="301"/>
      <c r="H63" s="301"/>
      <c r="I63" s="301"/>
      <c r="J63" s="301"/>
      <c r="K63" s="301"/>
      <c r="L63" s="301"/>
      <c r="M63" s="301"/>
      <c r="N63" s="301"/>
    </row>
    <row r="64" spans="1:14" ht="12.75" customHeight="1">
      <c r="A64" s="301"/>
      <c r="B64" s="301"/>
      <c r="C64" s="301"/>
      <c r="D64" s="301"/>
      <c r="E64" s="301"/>
      <c r="F64" s="301"/>
      <c r="G64" s="301"/>
      <c r="H64" s="301"/>
      <c r="I64" s="301"/>
      <c r="J64" s="301"/>
      <c r="K64" s="301"/>
      <c r="L64" s="301"/>
      <c r="M64" s="301"/>
      <c r="N64" s="301"/>
    </row>
    <row r="65" spans="1:14" ht="12.75" customHeight="1">
      <c r="A65" s="301"/>
      <c r="B65" s="306"/>
      <c r="C65" s="301"/>
      <c r="D65" s="306"/>
      <c r="E65" s="306"/>
      <c r="F65" s="301"/>
      <c r="G65" s="306"/>
      <c r="H65" s="301"/>
      <c r="I65" s="301"/>
      <c r="J65" s="301"/>
      <c r="K65" s="301"/>
      <c r="L65" s="301"/>
      <c r="M65" s="301"/>
      <c r="N65" s="301"/>
    </row>
    <row r="66" spans="1:14" ht="12.75" customHeight="1">
      <c r="A66" s="301"/>
      <c r="B66" s="301"/>
      <c r="C66" s="301"/>
      <c r="D66" s="301"/>
      <c r="E66" s="301"/>
      <c r="F66" s="301"/>
      <c r="G66" s="301"/>
      <c r="H66" s="301"/>
      <c r="I66" s="301"/>
      <c r="J66" s="301"/>
      <c r="K66" s="301"/>
      <c r="L66" s="301"/>
      <c r="M66" s="301"/>
      <c r="N66" s="301"/>
    </row>
    <row r="67" spans="1:14" ht="12.75" customHeight="1">
      <c r="A67" s="301"/>
      <c r="B67" s="301"/>
      <c r="C67" s="301"/>
      <c r="D67" s="301"/>
      <c r="E67" s="301"/>
      <c r="F67" s="301"/>
      <c r="G67" s="301"/>
      <c r="H67" s="301"/>
      <c r="I67" s="301"/>
      <c r="J67" s="301"/>
      <c r="K67" s="301"/>
      <c r="L67" s="301"/>
      <c r="M67" s="301"/>
      <c r="N67" s="301"/>
    </row>
    <row r="68" spans="1:14" ht="12.75" customHeight="1">
      <c r="A68" s="301"/>
      <c r="B68" s="301"/>
      <c r="C68" s="301"/>
      <c r="D68" s="301"/>
      <c r="E68" s="301"/>
      <c r="F68" s="301"/>
      <c r="G68" s="301"/>
      <c r="H68" s="301"/>
      <c r="I68" s="301"/>
      <c r="J68" s="301"/>
      <c r="K68" s="301"/>
      <c r="L68" s="301"/>
      <c r="M68" s="301"/>
      <c r="N68" s="301"/>
    </row>
    <row r="69" spans="1:14" ht="12.75" customHeight="1">
      <c r="A69" s="301"/>
      <c r="B69" s="301"/>
      <c r="C69" s="301"/>
      <c r="D69" s="301"/>
      <c r="E69" s="301"/>
      <c r="F69" s="301"/>
      <c r="G69" s="301"/>
      <c r="H69" s="301"/>
      <c r="I69" s="301"/>
      <c r="J69" s="301"/>
      <c r="K69" s="301"/>
      <c r="L69" s="301"/>
      <c r="M69" s="301"/>
      <c r="N69" s="301"/>
    </row>
    <row r="70" spans="1:14" ht="12.75" customHeight="1">
      <c r="A70" s="301"/>
      <c r="B70" s="301"/>
      <c r="C70" s="301"/>
      <c r="D70" s="301"/>
      <c r="E70" s="301"/>
      <c r="F70" s="301"/>
      <c r="G70" s="301"/>
      <c r="H70" s="301"/>
      <c r="I70" s="301"/>
      <c r="J70" s="301"/>
      <c r="K70" s="301"/>
      <c r="L70" s="301"/>
      <c r="M70" s="301"/>
      <c r="N70" s="301"/>
    </row>
    <row r="71" ht="12.75" customHeight="1"/>
    <row r="72" ht="12.75" customHeight="1"/>
    <row r="73" ht="12.75" customHeight="1"/>
    <row r="74" ht="12.75" customHeight="1"/>
    <row r="75" ht="12.75" customHeight="1"/>
    <row r="76" ht="12.75" customHeight="1"/>
    <row r="77" ht="12.75" customHeight="1"/>
    <row r="78" ht="12.75" customHeight="1"/>
  </sheetData>
  <sheetProtection password="D387" sheet="1" objects="1" scenarios="1"/>
  <printOptions/>
  <pageMargins left="0.75" right="0.75" top="1" bottom="1" header="0.5" footer="0.5"/>
  <pageSetup fitToHeight="1" fitToWidth="1" horizontalDpi="600" verticalDpi="600" orientation="portrait" scale="80" r:id="rId3"/>
  <headerFooter alignWithMargins="0">
    <oddHeader>&amp;CTotal Cost of Application Ownership (TCA) Calculator</oddHeader>
    <oddFooter>&amp;LThe Tolly Group TCA Calculator
&amp;P&amp;D&amp;T&amp;R© The Tolly Group, 1999</oddFooter>
  </headerFooter>
  <legacyDrawing r:id="rId2"/>
</worksheet>
</file>

<file path=xl/worksheets/sheet20.xml><?xml version="1.0" encoding="utf-8"?>
<worksheet xmlns="http://schemas.openxmlformats.org/spreadsheetml/2006/main" xmlns:r="http://schemas.openxmlformats.org/officeDocument/2006/relationships">
  <sheetPr codeName="Sheet6">
    <pageSetUpPr fitToPage="1"/>
  </sheetPr>
  <dimension ref="A1:O79"/>
  <sheetViews>
    <sheetView workbookViewId="0" topLeftCell="A40">
      <selection activeCell="I31" sqref="I31"/>
    </sheetView>
  </sheetViews>
  <sheetFormatPr defaultColWidth="9.140625" defaultRowHeight="12.75"/>
  <cols>
    <col min="2" max="2" width="9.57421875" style="0" customWidth="1"/>
    <col min="4" max="4" width="9.8515625" style="0" customWidth="1"/>
    <col min="5" max="5" width="15.140625" style="0" customWidth="1"/>
    <col min="6" max="6" width="16.140625" style="0" customWidth="1"/>
    <col min="7" max="7" width="11.28125" style="0" customWidth="1"/>
    <col min="8" max="8" width="12.0039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357</v>
      </c>
      <c r="C3" s="5"/>
      <c r="D3" s="5"/>
      <c r="E3" s="5"/>
      <c r="F3" s="5"/>
      <c r="G3" s="5"/>
      <c r="H3" s="5"/>
      <c r="I3" s="6"/>
    </row>
    <row r="4" spans="1:9" ht="12.75">
      <c r="A4" s="4"/>
      <c r="B4" s="5"/>
      <c r="C4" s="5"/>
      <c r="D4" s="5"/>
      <c r="E4" s="5"/>
      <c r="F4" s="5"/>
      <c r="G4" s="51" t="s">
        <v>1</v>
      </c>
      <c r="H4" s="51" t="s">
        <v>1</v>
      </c>
      <c r="I4" s="6"/>
    </row>
    <row r="5" spans="1:9" ht="15.75">
      <c r="A5" s="14"/>
      <c r="B5" s="30" t="s">
        <v>358</v>
      </c>
      <c r="C5" s="5"/>
      <c r="D5" s="5"/>
      <c r="E5" s="5"/>
      <c r="F5" s="31"/>
      <c r="G5" s="5"/>
      <c r="H5" s="5"/>
      <c r="I5" s="6"/>
    </row>
    <row r="6" spans="1:9" ht="12.75">
      <c r="A6" s="4"/>
      <c r="B6" s="15"/>
      <c r="C6" s="15" t="s">
        <v>359</v>
      </c>
      <c r="D6" s="5"/>
      <c r="E6" s="5"/>
      <c r="F6" s="139" t="s">
        <v>520</v>
      </c>
      <c r="G6" s="51" t="s">
        <v>312</v>
      </c>
      <c r="H6" s="142" t="s">
        <v>41</v>
      </c>
      <c r="I6" s="6"/>
    </row>
    <row r="7" spans="1:9" ht="12.75">
      <c r="A7" s="4"/>
      <c r="B7" s="5"/>
      <c r="C7" s="5"/>
      <c r="D7" s="5" t="s">
        <v>75</v>
      </c>
      <c r="E7" s="5"/>
      <c r="F7" s="85">
        <f>'Server Software Acquisition'!G8</f>
        <v>995</v>
      </c>
      <c r="G7" s="160">
        <f>'Server Software Acquisition'!H8</f>
        <v>2</v>
      </c>
      <c r="H7" s="31">
        <f aca="true" t="shared" si="0" ref="H7:H12">F7*G7</f>
        <v>1990</v>
      </c>
      <c r="I7" s="6"/>
    </row>
    <row r="8" spans="1:9" ht="12.75">
      <c r="A8" s="4"/>
      <c r="B8" s="5"/>
      <c r="C8" s="5"/>
      <c r="D8" s="5" t="s">
        <v>76</v>
      </c>
      <c r="E8" s="5"/>
      <c r="F8" s="85">
        <f>'Server Software Acquisition'!G9</f>
        <v>0</v>
      </c>
      <c r="G8" s="160">
        <f>'Server Software Acquisition'!H9</f>
        <v>0</v>
      </c>
      <c r="H8" s="31">
        <f t="shared" si="0"/>
        <v>0</v>
      </c>
      <c r="I8" s="6"/>
    </row>
    <row r="9" spans="1:9" ht="12.75">
      <c r="A9" s="4"/>
      <c r="B9" s="5"/>
      <c r="C9" s="5"/>
      <c r="D9" s="5" t="s">
        <v>65</v>
      </c>
      <c r="E9" s="5"/>
      <c r="F9" s="85">
        <f>'Server Software Acquisition'!G10</f>
        <v>0</v>
      </c>
      <c r="G9" s="160">
        <f>'Server Software Acquisition'!H10</f>
        <v>0</v>
      </c>
      <c r="H9" s="31">
        <f t="shared" si="0"/>
        <v>0</v>
      </c>
      <c r="I9" s="6"/>
    </row>
    <row r="10" spans="1:9" ht="12.75">
      <c r="A10" s="4"/>
      <c r="B10" s="5"/>
      <c r="C10" s="5"/>
      <c r="D10" s="5" t="s">
        <v>77</v>
      </c>
      <c r="E10" s="5"/>
      <c r="F10" s="85">
        <f>'Server Software Acquisition'!G11</f>
        <v>0</v>
      </c>
      <c r="G10" s="160">
        <f>'Server Software Acquisition'!H11</f>
        <v>0</v>
      </c>
      <c r="H10" s="31">
        <f t="shared" si="0"/>
        <v>0</v>
      </c>
      <c r="I10" s="6"/>
    </row>
    <row r="11" spans="1:9" ht="12.75">
      <c r="A11" s="4"/>
      <c r="B11" s="5"/>
      <c r="C11" s="5"/>
      <c r="D11" s="5" t="s">
        <v>78</v>
      </c>
      <c r="E11" s="5"/>
      <c r="F11" s="85">
        <f>'Server Software Acquisition'!G12</f>
        <v>0</v>
      </c>
      <c r="G11" s="160">
        <f>'Server Software Acquisition'!H12</f>
        <v>0</v>
      </c>
      <c r="H11" s="31">
        <f t="shared" si="0"/>
        <v>0</v>
      </c>
      <c r="I11" s="6"/>
    </row>
    <row r="12" spans="1:9" ht="13.5" thickBot="1">
      <c r="A12" s="52"/>
      <c r="B12" s="22"/>
      <c r="C12" s="22"/>
      <c r="D12" s="22" t="s">
        <v>25</v>
      </c>
      <c r="E12" s="22"/>
      <c r="F12" s="85">
        <f>'Server Software Acquisition'!G13</f>
        <v>0</v>
      </c>
      <c r="G12" s="160">
        <f>'Server Software Acquisition'!H13</f>
        <v>0</v>
      </c>
      <c r="H12" s="35">
        <f t="shared" si="0"/>
        <v>0</v>
      </c>
      <c r="I12" s="6"/>
    </row>
    <row r="13" spans="1:9" ht="13.5" thickTop="1">
      <c r="A13" s="4"/>
      <c r="B13" s="5" t="s">
        <v>269</v>
      </c>
      <c r="C13" s="5"/>
      <c r="D13" s="5"/>
      <c r="E13" s="5"/>
      <c r="F13" s="31"/>
      <c r="G13" s="5"/>
      <c r="H13" s="31">
        <f>SUM(H7:H12)</f>
        <v>1990</v>
      </c>
      <c r="I13" s="6"/>
    </row>
    <row r="14" spans="1:9" ht="12.75">
      <c r="A14" s="4"/>
      <c r="B14" s="5"/>
      <c r="C14" s="5"/>
      <c r="D14" s="5"/>
      <c r="E14" s="5"/>
      <c r="F14" s="31"/>
      <c r="G14" s="5"/>
      <c r="H14" s="5"/>
      <c r="I14" s="6"/>
    </row>
    <row r="15" spans="1:9" ht="12.75">
      <c r="A15" s="4"/>
      <c r="B15" s="15"/>
      <c r="C15" s="15" t="s">
        <v>360</v>
      </c>
      <c r="D15" s="15"/>
      <c r="E15" s="5"/>
      <c r="F15" s="55"/>
      <c r="G15" s="56"/>
      <c r="H15" s="5"/>
      <c r="I15" s="6"/>
    </row>
    <row r="16" spans="1:9" ht="12.75">
      <c r="A16" s="4"/>
      <c r="B16" s="5"/>
      <c r="C16" s="5"/>
      <c r="D16" s="5" t="s">
        <v>79</v>
      </c>
      <c r="E16" s="5"/>
      <c r="F16" s="85">
        <f>'Server Software Acquisition'!G16</f>
        <v>495</v>
      </c>
      <c r="G16" s="160">
        <f>'Server Software Acquisition'!H16</f>
        <v>2</v>
      </c>
      <c r="H16" s="31">
        <f>F16*G16</f>
        <v>990</v>
      </c>
      <c r="I16" s="6"/>
    </row>
    <row r="17" spans="1:9" ht="12.75">
      <c r="A17" s="4"/>
      <c r="B17" s="5"/>
      <c r="C17" s="5"/>
      <c r="D17" s="5" t="s">
        <v>68</v>
      </c>
      <c r="E17" s="5"/>
      <c r="F17" s="85">
        <f>'Server Software Acquisition'!G17</f>
        <v>49</v>
      </c>
      <c r="G17" s="160">
        <f>'Server Software Acquisition'!H17</f>
        <v>2</v>
      </c>
      <c r="H17" s="31">
        <f>F17*G17</f>
        <v>98</v>
      </c>
      <c r="I17" s="6"/>
    </row>
    <row r="18" spans="1:9" ht="13.5" thickBot="1">
      <c r="A18" s="52"/>
      <c r="B18" s="22"/>
      <c r="C18" s="22"/>
      <c r="D18" s="22" t="s">
        <v>25</v>
      </c>
      <c r="E18" s="22"/>
      <c r="F18" s="85">
        <f>'Server Software Acquisition'!G18</f>
        <v>0</v>
      </c>
      <c r="G18" s="160">
        <f>'Server Software Acquisition'!H18</f>
        <v>0</v>
      </c>
      <c r="H18" s="35">
        <f>F18*G18</f>
        <v>0</v>
      </c>
      <c r="I18" s="6"/>
    </row>
    <row r="19" spans="1:9" ht="13.5" thickTop="1">
      <c r="A19" s="4"/>
      <c r="B19" s="5" t="s">
        <v>269</v>
      </c>
      <c r="C19" s="5"/>
      <c r="D19" s="5"/>
      <c r="E19" s="5"/>
      <c r="F19" s="31"/>
      <c r="G19" s="5"/>
      <c r="H19" s="31">
        <f>SUM(H16:H18)</f>
        <v>1088</v>
      </c>
      <c r="I19" s="6"/>
    </row>
    <row r="20" spans="1:9" ht="12.75">
      <c r="A20" s="4"/>
      <c r="B20" s="5"/>
      <c r="C20" s="5"/>
      <c r="D20" s="5"/>
      <c r="E20" s="5"/>
      <c r="F20" s="31"/>
      <c r="G20" s="5"/>
      <c r="H20" s="5"/>
      <c r="I20" s="6"/>
    </row>
    <row r="21" spans="1:9" ht="12.75">
      <c r="A21" s="4"/>
      <c r="B21" s="15"/>
      <c r="C21" s="15" t="s">
        <v>361</v>
      </c>
      <c r="D21" s="15"/>
      <c r="E21" s="5"/>
      <c r="F21" s="31"/>
      <c r="G21" s="5"/>
      <c r="H21" s="5"/>
      <c r="I21" s="6"/>
    </row>
    <row r="22" spans="1:9" ht="12.75">
      <c r="A22" s="4"/>
      <c r="B22" s="5"/>
      <c r="C22" s="5"/>
      <c r="D22" s="5" t="s">
        <v>80</v>
      </c>
      <c r="E22" s="5"/>
      <c r="F22" s="85">
        <f>'Server Software Acquisition'!G21</f>
        <v>150</v>
      </c>
      <c r="G22" s="160">
        <f>'Server Software Acquisition'!H21</f>
        <v>2500</v>
      </c>
      <c r="H22" s="31">
        <f aca="true" t="shared" si="1" ref="H22:H30">F22*G22</f>
        <v>375000</v>
      </c>
      <c r="I22" s="6"/>
    </row>
    <row r="23" spans="1:9" ht="12.75">
      <c r="A23" s="4"/>
      <c r="B23" s="5"/>
      <c r="C23" s="5"/>
      <c r="D23" s="5" t="s">
        <v>81</v>
      </c>
      <c r="E23" s="5"/>
      <c r="F23" s="85">
        <f>'Server Software Acquisition'!G22</f>
        <v>2500</v>
      </c>
      <c r="G23" s="160">
        <f>'Server Software Acquisition'!H22</f>
        <v>1</v>
      </c>
      <c r="H23" s="31">
        <f t="shared" si="1"/>
        <v>2500</v>
      </c>
      <c r="I23" s="6"/>
    </row>
    <row r="24" spans="1:9" ht="12.75">
      <c r="A24" s="4"/>
      <c r="B24" s="5"/>
      <c r="C24" s="5"/>
      <c r="D24" s="5" t="s">
        <v>82</v>
      </c>
      <c r="E24" s="5"/>
      <c r="F24" s="85">
        <f>'Server Software Acquisition'!G23</f>
        <v>0</v>
      </c>
      <c r="G24" s="160">
        <f>'Server Software Acquisition'!H23</f>
        <v>0</v>
      </c>
      <c r="H24" s="31">
        <f t="shared" si="1"/>
        <v>0</v>
      </c>
      <c r="I24" s="6"/>
    </row>
    <row r="25" spans="1:9" ht="12.75">
      <c r="A25" s="4"/>
      <c r="B25" s="5"/>
      <c r="C25" s="5"/>
      <c r="D25" s="5" t="s">
        <v>173</v>
      </c>
      <c r="E25" s="5"/>
      <c r="F25" s="85">
        <f>'Server Software Acquisition'!G24</f>
        <v>0</v>
      </c>
      <c r="G25" s="160">
        <f>'Server Software Acquisition'!H24</f>
        <v>0</v>
      </c>
      <c r="H25" s="31">
        <f t="shared" si="1"/>
        <v>0</v>
      </c>
      <c r="I25" s="6"/>
    </row>
    <row r="26" spans="1:9" ht="12.75">
      <c r="A26" s="4"/>
      <c r="B26" s="5"/>
      <c r="C26" s="5"/>
      <c r="D26" s="5" t="s">
        <v>174</v>
      </c>
      <c r="E26" s="5"/>
      <c r="F26" s="85">
        <f>'Server Software Acquisition'!G25</f>
        <v>0</v>
      </c>
      <c r="G26" s="160">
        <f>'Server Software Acquisition'!H25</f>
        <v>0</v>
      </c>
      <c r="H26" s="31">
        <f>G26*F26</f>
        <v>0</v>
      </c>
      <c r="I26" s="6"/>
    </row>
    <row r="27" spans="1:9" ht="12.75">
      <c r="A27" s="4"/>
      <c r="B27" s="5"/>
      <c r="C27" s="5"/>
      <c r="D27" s="5" t="s">
        <v>83</v>
      </c>
      <c r="E27" s="5"/>
      <c r="F27" s="85">
        <f>'Server Software Acquisition'!G26</f>
        <v>3500</v>
      </c>
      <c r="G27" s="160">
        <f>'Server Software Acquisition'!H26</f>
        <v>0</v>
      </c>
      <c r="H27" s="31">
        <f t="shared" si="1"/>
        <v>0</v>
      </c>
      <c r="I27" s="6"/>
    </row>
    <row r="28" spans="1:9" ht="12.75">
      <c r="A28" s="4"/>
      <c r="B28" s="5"/>
      <c r="C28" s="5"/>
      <c r="D28" s="5" t="s">
        <v>292</v>
      </c>
      <c r="E28" s="5"/>
      <c r="F28" s="85">
        <f>'Server Software Acquisition'!G27</f>
        <v>23080</v>
      </c>
      <c r="G28" s="160">
        <f>'Server Software Acquisition'!H27</f>
        <v>0</v>
      </c>
      <c r="H28" s="31">
        <f t="shared" si="1"/>
        <v>0</v>
      </c>
      <c r="I28" s="6"/>
    </row>
    <row r="29" spans="1:9" ht="12.75">
      <c r="A29" s="4"/>
      <c r="B29" s="5"/>
      <c r="C29" s="5"/>
      <c r="D29" s="5" t="s">
        <v>84</v>
      </c>
      <c r="E29" s="5"/>
      <c r="F29" s="85">
        <f>'Server Software Acquisition'!G28</f>
        <v>3500</v>
      </c>
      <c r="G29" s="160">
        <f>'Server Software Acquisition'!H28</f>
        <v>1</v>
      </c>
      <c r="H29" s="31">
        <f t="shared" si="1"/>
        <v>3500</v>
      </c>
      <c r="I29" s="6"/>
    </row>
    <row r="30" spans="1:9" ht="13.5" thickBot="1">
      <c r="A30" s="52"/>
      <c r="B30" s="22"/>
      <c r="C30" s="22"/>
      <c r="D30" s="22" t="s">
        <v>25</v>
      </c>
      <c r="E30" s="22"/>
      <c r="F30" s="85">
        <f>'Server Software Acquisition'!G29</f>
        <v>0</v>
      </c>
      <c r="G30" s="160">
        <f>'Server Software Acquisition'!H29</f>
        <v>0</v>
      </c>
      <c r="H30" s="35">
        <f t="shared" si="1"/>
        <v>0</v>
      </c>
      <c r="I30" s="6"/>
    </row>
    <row r="31" spans="1:9" ht="13.5" thickTop="1">
      <c r="A31" s="4"/>
      <c r="B31" s="5" t="s">
        <v>269</v>
      </c>
      <c r="C31" s="5"/>
      <c r="D31" s="5"/>
      <c r="E31" s="5"/>
      <c r="F31" s="31"/>
      <c r="G31" s="5"/>
      <c r="H31" s="31">
        <f>SUM(H22:H30)</f>
        <v>381000</v>
      </c>
      <c r="I31" s="6"/>
    </row>
    <row r="32" spans="1:9" ht="13.5" thickBot="1">
      <c r="A32" s="4"/>
      <c r="B32" s="5"/>
      <c r="C32" s="5"/>
      <c r="D32" s="5"/>
      <c r="E32" s="5"/>
      <c r="F32" s="31"/>
      <c r="G32" s="5"/>
      <c r="H32" s="5"/>
      <c r="I32" s="6"/>
    </row>
    <row r="33" spans="1:9" ht="14.25" thickBot="1" thickTop="1">
      <c r="A33" s="4"/>
      <c r="B33" s="37" t="s">
        <v>85</v>
      </c>
      <c r="C33" s="38"/>
      <c r="D33" s="38"/>
      <c r="E33" s="38"/>
      <c r="F33" s="53"/>
      <c r="G33" s="38"/>
      <c r="H33" s="39">
        <f>SUM(H31,H19,H13)</f>
        <v>384078</v>
      </c>
      <c r="I33" s="6"/>
    </row>
    <row r="34" spans="1:9" ht="13.5" thickTop="1">
      <c r="A34" s="4"/>
      <c r="B34" s="5"/>
      <c r="C34" s="5"/>
      <c r="D34" s="5"/>
      <c r="E34" s="5"/>
      <c r="F34" s="5"/>
      <c r="G34" s="5"/>
      <c r="H34" s="5"/>
      <c r="I34" s="6"/>
    </row>
    <row r="35" spans="1:9" ht="13.5" thickBot="1">
      <c r="A35" s="7"/>
      <c r="B35" s="8"/>
      <c r="C35" s="8"/>
      <c r="D35" s="8"/>
      <c r="E35" s="8"/>
      <c r="F35" s="8"/>
      <c r="G35" s="8"/>
      <c r="H35" s="8"/>
      <c r="I35" s="9"/>
    </row>
    <row r="36"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9" r:id="rId1"/>
  <headerFooter alignWithMargins="0">
    <oddHeader>&amp;CTotal Cost of Application Ownership (TCA) Calculator</oddHeader>
    <oddFooter>&amp;LThe Tolly Group TCA Calculator&amp;R© The Tolly Group, 1999</oddFooter>
  </headerFooter>
</worksheet>
</file>

<file path=xl/worksheets/sheet21.xml><?xml version="1.0" encoding="utf-8"?>
<worksheet xmlns="http://schemas.openxmlformats.org/spreadsheetml/2006/main" xmlns:r="http://schemas.openxmlformats.org/officeDocument/2006/relationships">
  <sheetPr codeName="Sheet7">
    <pageSetUpPr fitToPage="1"/>
  </sheetPr>
  <dimension ref="A1:O69"/>
  <sheetViews>
    <sheetView workbookViewId="0" topLeftCell="A30">
      <selection activeCell="H22" sqref="H22"/>
    </sheetView>
  </sheetViews>
  <sheetFormatPr defaultColWidth="9.140625" defaultRowHeight="12.75"/>
  <cols>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362</v>
      </c>
      <c r="C3" s="5"/>
      <c r="D3" s="5"/>
      <c r="E3" s="5"/>
      <c r="F3" s="5"/>
      <c r="G3" s="5"/>
      <c r="H3" s="6"/>
    </row>
    <row r="4" spans="1:8" ht="12.75">
      <c r="A4" s="4"/>
      <c r="B4" s="5"/>
      <c r="C4" s="5"/>
      <c r="D4" s="5"/>
      <c r="E4" s="5"/>
      <c r="F4" s="5" t="s">
        <v>50</v>
      </c>
      <c r="G4" s="101" t="s">
        <v>41</v>
      </c>
      <c r="H4" s="6"/>
    </row>
    <row r="5" spans="1:8" ht="12.75">
      <c r="A5" s="4"/>
      <c r="B5" s="5" t="s">
        <v>86</v>
      </c>
      <c r="C5" s="5"/>
      <c r="D5" s="5"/>
      <c r="E5" s="5"/>
      <c r="F5" s="92">
        <f>'Application Integration'!G6</f>
        <v>20</v>
      </c>
      <c r="G5" s="31">
        <f>'Fat-Application Development'!G5/52/40*F5</f>
        <v>991.1057692307693</v>
      </c>
      <c r="H5" s="6"/>
    </row>
    <row r="6" spans="1:8" ht="12.75">
      <c r="A6" s="4"/>
      <c r="B6" s="5" t="s">
        <v>87</v>
      </c>
      <c r="C6" s="5"/>
      <c r="D6" s="5"/>
      <c r="E6" s="5"/>
      <c r="F6" s="92">
        <f>'Application Integration'!G7</f>
        <v>40</v>
      </c>
      <c r="G6" s="31">
        <f>'Fat-Application Development'!G5/52/40*F6</f>
        <v>1982.2115384615386</v>
      </c>
      <c r="H6" s="6"/>
    </row>
    <row r="7" spans="1:8" ht="12.75">
      <c r="A7" s="4"/>
      <c r="B7" s="5" t="s">
        <v>88</v>
      </c>
      <c r="C7" s="5"/>
      <c r="D7" s="5"/>
      <c r="E7" s="5"/>
      <c r="F7" s="92">
        <f>'Application Integration'!G8</f>
        <v>15</v>
      </c>
      <c r="G7" s="31">
        <f>'Fat-Application Development'!G5/52/40*F7</f>
        <v>743.329326923077</v>
      </c>
      <c r="H7" s="6"/>
    </row>
    <row r="8" spans="1:8" ht="13.5" thickBot="1">
      <c r="A8" s="4"/>
      <c r="B8" s="22" t="s">
        <v>89</v>
      </c>
      <c r="C8" s="22"/>
      <c r="D8" s="22"/>
      <c r="E8" s="22"/>
      <c r="F8" s="93">
        <f>'Application Integration'!G9</f>
        <v>20</v>
      </c>
      <c r="G8" s="35">
        <f>'Fat-Application Development'!G5/52/40*F8</f>
        <v>991.1057692307693</v>
      </c>
      <c r="H8" s="6"/>
    </row>
    <row r="9" spans="1:8" ht="13.5" thickTop="1">
      <c r="A9" s="4"/>
      <c r="B9" s="5" t="s">
        <v>269</v>
      </c>
      <c r="C9" s="5"/>
      <c r="D9" s="5"/>
      <c r="E9" s="5"/>
      <c r="F9" s="5"/>
      <c r="G9" s="31">
        <f>SUM(G5:G8)</f>
        <v>4707.752403846154</v>
      </c>
      <c r="H9" s="6"/>
    </row>
    <row r="10" spans="1:8" ht="12.75">
      <c r="A10" s="4"/>
      <c r="B10" s="5"/>
      <c r="C10" s="5"/>
      <c r="D10" s="5"/>
      <c r="E10" s="5"/>
      <c r="F10" s="5"/>
      <c r="G10" s="31"/>
      <c r="H10" s="6"/>
    </row>
    <row r="11" spans="1:8" ht="12.75">
      <c r="A11" s="4"/>
      <c r="B11" s="5" t="s">
        <v>90</v>
      </c>
      <c r="C11" s="5"/>
      <c r="D11" s="5"/>
      <c r="E11" s="5"/>
      <c r="F11" s="5"/>
      <c r="G11" s="31"/>
      <c r="H11" s="6"/>
    </row>
    <row r="12" spans="1:8" ht="12.75">
      <c r="A12" s="4"/>
      <c r="B12" s="5"/>
      <c r="C12" s="5" t="s">
        <v>91</v>
      </c>
      <c r="D12" s="5"/>
      <c r="E12" s="5"/>
      <c r="F12" s="5"/>
      <c r="G12" s="85">
        <f>'Application Integration'!G12</f>
        <v>40</v>
      </c>
      <c r="H12" s="6"/>
    </row>
    <row r="13" spans="1:8" ht="12.75">
      <c r="A13" s="4"/>
      <c r="B13" s="5"/>
      <c r="C13" s="5" t="s">
        <v>92</v>
      </c>
      <c r="D13" s="5"/>
      <c r="E13" s="5"/>
      <c r="F13" s="5"/>
      <c r="G13" s="85">
        <f>'Application Integration'!G13</f>
        <v>150</v>
      </c>
      <c r="H13" s="6"/>
    </row>
    <row r="14" spans="1:8" ht="13.5" thickBot="1">
      <c r="A14" s="4"/>
      <c r="B14" s="22"/>
      <c r="C14" s="22" t="s">
        <v>93</v>
      </c>
      <c r="D14" s="22"/>
      <c r="E14" s="22"/>
      <c r="F14" s="22"/>
      <c r="G14" s="91">
        <f>'Application Integration'!G14</f>
        <v>0</v>
      </c>
      <c r="H14" s="6"/>
    </row>
    <row r="15" spans="1:8" ht="13.5" thickTop="1">
      <c r="A15" s="4"/>
      <c r="B15" s="5"/>
      <c r="C15" s="5"/>
      <c r="D15" s="5"/>
      <c r="E15" s="5"/>
      <c r="F15" s="5"/>
      <c r="G15" s="31">
        <f>SUM(G12:G14)</f>
        <v>190</v>
      </c>
      <c r="H15" s="6"/>
    </row>
    <row r="16" spans="1:8" ht="12.75">
      <c r="A16" s="4"/>
      <c r="B16" s="5"/>
      <c r="C16" s="5"/>
      <c r="D16" s="5"/>
      <c r="E16" s="5"/>
      <c r="F16" s="5"/>
      <c r="G16" s="31"/>
      <c r="H16" s="6"/>
    </row>
    <row r="17" spans="1:8" ht="13.5" thickBot="1">
      <c r="A17" s="4"/>
      <c r="B17" s="5"/>
      <c r="C17" s="5"/>
      <c r="D17" s="5"/>
      <c r="E17" s="5"/>
      <c r="F17" s="5"/>
      <c r="G17" s="31"/>
      <c r="H17" s="6"/>
    </row>
    <row r="18" spans="1:8" ht="14.25" thickBot="1" thickTop="1">
      <c r="A18" s="4"/>
      <c r="B18" s="37" t="s">
        <v>94</v>
      </c>
      <c r="C18" s="38"/>
      <c r="D18" s="38"/>
      <c r="E18" s="38"/>
      <c r="F18" s="38"/>
      <c r="G18" s="39">
        <f>G9+G15</f>
        <v>4897.752403846154</v>
      </c>
      <c r="H18" s="6"/>
    </row>
    <row r="19" spans="1:8" ht="13.5" thickTop="1">
      <c r="A19" s="4"/>
      <c r="B19" s="5"/>
      <c r="C19" s="5"/>
      <c r="D19" s="5"/>
      <c r="E19" s="5"/>
      <c r="F19" s="5"/>
      <c r="G19" s="5"/>
      <c r="H19" s="6"/>
    </row>
    <row r="20" spans="1:8" ht="13.5" thickBot="1">
      <c r="A20" s="7"/>
      <c r="B20" s="8"/>
      <c r="C20" s="8"/>
      <c r="D20" s="8"/>
      <c r="E20" s="8"/>
      <c r="F20" s="8"/>
      <c r="G20" s="8"/>
      <c r="H20" s="9"/>
    </row>
    <row r="21"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97" ht="15.75" customHeight="1"/>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22.xml><?xml version="1.0" encoding="utf-8"?>
<worksheet xmlns="http://schemas.openxmlformats.org/spreadsheetml/2006/main" xmlns:r="http://schemas.openxmlformats.org/officeDocument/2006/relationships">
  <sheetPr codeName="Sheet8">
    <pageSetUpPr fitToPage="1"/>
  </sheetPr>
  <dimension ref="A1:O69"/>
  <sheetViews>
    <sheetView workbookViewId="0" topLeftCell="A30">
      <selection activeCell="A22" sqref="A22"/>
    </sheetView>
  </sheetViews>
  <sheetFormatPr defaultColWidth="9.140625" defaultRowHeight="12.75"/>
  <cols>
    <col min="2" max="2" width="10.00390625" style="0" customWidth="1"/>
    <col min="6" max="6" width="14.140625" style="0" customWidth="1"/>
    <col min="7" max="7" width="12.8515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363</v>
      </c>
      <c r="C3" s="5"/>
      <c r="D3" s="5"/>
      <c r="E3" s="5"/>
      <c r="F3" s="5"/>
      <c r="G3" s="5"/>
      <c r="H3" s="6"/>
    </row>
    <row r="4" spans="1:8" ht="12.75">
      <c r="A4" s="4"/>
      <c r="B4" s="5"/>
      <c r="C4" s="5"/>
      <c r="D4" s="5"/>
      <c r="E4" s="5"/>
      <c r="F4" s="5"/>
      <c r="G4" s="5"/>
      <c r="H4" s="6"/>
    </row>
    <row r="5" spans="1:8" ht="12.75">
      <c r="A5" s="4"/>
      <c r="B5" s="15" t="s">
        <v>364</v>
      </c>
      <c r="C5" s="5"/>
      <c r="D5" s="5"/>
      <c r="E5" s="5"/>
      <c r="F5" s="5" t="s">
        <v>164</v>
      </c>
      <c r="G5" s="143" t="s">
        <v>41</v>
      </c>
      <c r="H5" s="6"/>
    </row>
    <row r="6" spans="1:8" ht="12.75">
      <c r="A6" s="4"/>
      <c r="B6" s="5"/>
      <c r="C6" s="5" t="s">
        <v>175</v>
      </c>
      <c r="D6" s="5"/>
      <c r="E6" s="5"/>
      <c r="F6" s="88">
        <f>'Application Installation'!G7</f>
        <v>45</v>
      </c>
      <c r="G6" s="72">
        <f>'Calculation Sheet'!E11/52/40/60*F6</f>
        <v>27.383293269230766</v>
      </c>
      <c r="H6" s="6"/>
    </row>
    <row r="7" spans="1:8" ht="13.5" thickBot="1">
      <c r="A7" s="4"/>
      <c r="B7" s="22"/>
      <c r="C7" s="22" t="s">
        <v>176</v>
      </c>
      <c r="D7" s="22"/>
      <c r="E7" s="22"/>
      <c r="F7" s="89">
        <f>'Application Installation'!G8</f>
        <v>60</v>
      </c>
      <c r="G7" s="57">
        <f>'Calculation Sheet'!E11/52/40/60*F7</f>
        <v>36.51105769230769</v>
      </c>
      <c r="H7" s="6"/>
    </row>
    <row r="8" spans="1:8" ht="13.5" thickTop="1">
      <c r="A8" s="4"/>
      <c r="B8" s="5" t="s">
        <v>269</v>
      </c>
      <c r="C8" s="5"/>
      <c r="D8" s="5"/>
      <c r="E8" s="5"/>
      <c r="F8" s="5"/>
      <c r="G8" s="95">
        <f>SUM(G6:G7)</f>
        <v>63.89435096153845</v>
      </c>
      <c r="H8" s="6"/>
    </row>
    <row r="9" spans="1:8" ht="12.75">
      <c r="A9" s="4"/>
      <c r="B9" s="5"/>
      <c r="C9" s="5"/>
      <c r="D9" s="5"/>
      <c r="E9" s="5"/>
      <c r="F9" s="5"/>
      <c r="G9" s="31"/>
      <c r="H9" s="6"/>
    </row>
    <row r="10" spans="1:8" ht="12.75">
      <c r="A10" s="4"/>
      <c r="B10" s="15" t="s">
        <v>365</v>
      </c>
      <c r="C10" s="5"/>
      <c r="D10" s="5"/>
      <c r="E10" s="5"/>
      <c r="F10" s="5" t="s">
        <v>50</v>
      </c>
      <c r="G10" s="31"/>
      <c r="H10" s="6"/>
    </row>
    <row r="11" spans="1:8" ht="12.75">
      <c r="A11" s="4"/>
      <c r="B11" s="5"/>
      <c r="C11" s="5" t="s">
        <v>95</v>
      </c>
      <c r="D11" s="5"/>
      <c r="E11" s="5"/>
      <c r="F11" s="88">
        <f>'Application Installation'!G11</f>
        <v>0.5</v>
      </c>
      <c r="G11" s="73">
        <f>'Calculation Sheet'!E11/52/40*F11</f>
        <v>18.255528846153844</v>
      </c>
      <c r="H11" s="6"/>
    </row>
    <row r="12" spans="1:8" ht="12.75">
      <c r="A12" s="4"/>
      <c r="B12" s="5"/>
      <c r="C12" s="5" t="s">
        <v>96</v>
      </c>
      <c r="D12" s="5"/>
      <c r="E12" s="5"/>
      <c r="F12" s="5"/>
      <c r="G12" s="85">
        <f>'Application Installation'!G14</f>
        <v>25</v>
      </c>
      <c r="H12" s="6"/>
    </row>
    <row r="13" spans="1:8" ht="13.5" thickBot="1">
      <c r="A13" s="4"/>
      <c r="B13" s="22"/>
      <c r="C13" s="22" t="s">
        <v>97</v>
      </c>
      <c r="D13" s="22"/>
      <c r="E13" s="22"/>
      <c r="F13" s="161">
        <f>'Application Installation'!G12</f>
        <v>1</v>
      </c>
      <c r="G13" s="57">
        <f>'Calculation Sheet'!E11/52/40*F13</f>
        <v>36.51105769230769</v>
      </c>
      <c r="H13" s="6"/>
    </row>
    <row r="14" spans="1:8" ht="13.5" thickTop="1">
      <c r="A14" s="4"/>
      <c r="B14" s="5"/>
      <c r="C14" s="5"/>
      <c r="D14" s="5"/>
      <c r="E14" s="5"/>
      <c r="F14" s="5"/>
      <c r="G14" s="95">
        <f>SUM(G11:G13)</f>
        <v>79.76658653846152</v>
      </c>
      <c r="H14" s="6"/>
    </row>
    <row r="15" spans="1:8" ht="12.75">
      <c r="A15" s="4"/>
      <c r="B15" s="5"/>
      <c r="C15" s="5"/>
      <c r="D15" s="5"/>
      <c r="E15" s="5"/>
      <c r="F15" s="5"/>
      <c r="G15" s="95"/>
      <c r="H15" s="6"/>
    </row>
    <row r="16" spans="1:8" ht="13.5" thickBot="1">
      <c r="A16" s="4"/>
      <c r="B16" s="5"/>
      <c r="C16" s="5"/>
      <c r="D16" s="5"/>
      <c r="E16" s="5"/>
      <c r="F16" s="5"/>
      <c r="G16" s="31"/>
      <c r="H16" s="6"/>
    </row>
    <row r="17" spans="1:8" ht="14.25" thickBot="1" thickTop="1">
      <c r="A17" s="4"/>
      <c r="B17" s="37" t="s">
        <v>98</v>
      </c>
      <c r="C17" s="38"/>
      <c r="D17" s="38"/>
      <c r="E17" s="38"/>
      <c r="F17" s="38"/>
      <c r="G17" s="150">
        <v>63.89</v>
      </c>
      <c r="H17" s="6"/>
    </row>
    <row r="18" spans="1:8" ht="13.5" thickTop="1">
      <c r="A18" s="4"/>
      <c r="B18" s="5"/>
      <c r="C18" s="5"/>
      <c r="D18" s="5"/>
      <c r="E18" s="5"/>
      <c r="F18" s="5"/>
      <c r="G18" s="187"/>
      <c r="H18" s="6"/>
    </row>
    <row r="19" spans="1:8" ht="13.5" thickBot="1">
      <c r="A19" s="7"/>
      <c r="B19" s="8"/>
      <c r="C19" s="8"/>
      <c r="D19" s="8"/>
      <c r="E19" s="8"/>
      <c r="F19" s="8"/>
      <c r="G19" s="8"/>
      <c r="H19" s="9"/>
    </row>
    <row r="20" ht="13.5" thickTop="1"/>
    <row r="22" ht="12.75">
      <c r="B22" s="75"/>
    </row>
    <row r="23" ht="12.75">
      <c r="B23" s="75"/>
    </row>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99" r:id="rId1"/>
  <headerFooter alignWithMargins="0">
    <oddHeader>&amp;CTotal Cost of Application Ownership (TCA) Calculator</oddHeader>
    <oddFooter>&amp;LThe Tolly Group TCA Calculator&amp;R© The Tolly Group, 1999</oddFooter>
  </headerFooter>
</worksheet>
</file>

<file path=xl/worksheets/sheet23.xml><?xml version="1.0" encoding="utf-8"?>
<worksheet xmlns="http://schemas.openxmlformats.org/spreadsheetml/2006/main" xmlns:r="http://schemas.openxmlformats.org/officeDocument/2006/relationships">
  <sheetPr codeName="Sheet9">
    <pageSetUpPr fitToPage="1"/>
  </sheetPr>
  <dimension ref="A1:O91"/>
  <sheetViews>
    <sheetView workbookViewId="0" topLeftCell="A52">
      <selection activeCell="G35" sqref="G35"/>
    </sheetView>
  </sheetViews>
  <sheetFormatPr defaultColWidth="9.140625" defaultRowHeight="12.75"/>
  <cols>
    <col min="2" max="2" width="10.00390625" style="0" customWidth="1"/>
    <col min="4" max="4" width="18.28125" style="0" customWidth="1"/>
    <col min="5" max="5" width="14.28125" style="0" customWidth="1"/>
    <col min="6" max="6" width="17.28125" style="0" customWidth="1"/>
    <col min="7" max="7" width="15.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366</v>
      </c>
      <c r="C3" s="5"/>
      <c r="D3" s="5"/>
      <c r="E3" s="5"/>
      <c r="F3" s="5"/>
      <c r="G3" s="5"/>
      <c r="H3" s="6"/>
    </row>
    <row r="4" spans="1:8" ht="12.75">
      <c r="A4" s="4"/>
      <c r="B4" s="5"/>
      <c r="C4" s="5"/>
      <c r="D4" s="5"/>
      <c r="E4" s="5"/>
      <c r="F4" s="5"/>
      <c r="G4" s="5"/>
      <c r="H4" s="6"/>
    </row>
    <row r="5" spans="1:8" ht="12.75">
      <c r="A5" s="4"/>
      <c r="B5" s="15" t="s">
        <v>367</v>
      </c>
      <c r="C5" s="5"/>
      <c r="D5" s="5"/>
      <c r="E5" s="5" t="s">
        <v>172</v>
      </c>
      <c r="F5" s="5" t="s">
        <v>177</v>
      </c>
      <c r="G5" s="143" t="s">
        <v>41</v>
      </c>
      <c r="H5" s="6"/>
    </row>
    <row r="6" spans="1:8" ht="12.75">
      <c r="A6" s="4"/>
      <c r="B6" s="5"/>
      <c r="C6" s="76" t="s">
        <v>27</v>
      </c>
      <c r="D6" s="5"/>
      <c r="E6" s="317">
        <f>'Application Training'!F8</f>
        <v>1</v>
      </c>
      <c r="F6" s="189">
        <f>'Application Training'!H8</f>
        <v>1500</v>
      </c>
      <c r="G6" s="72">
        <f>F6*E6</f>
        <v>1500</v>
      </c>
      <c r="H6" s="6"/>
    </row>
    <row r="7" spans="1:8" ht="12.75">
      <c r="A7" s="4"/>
      <c r="B7" s="5"/>
      <c r="C7" s="76" t="s">
        <v>28</v>
      </c>
      <c r="D7" s="5"/>
      <c r="E7" s="317">
        <f>'Application Training'!F9</f>
        <v>10</v>
      </c>
      <c r="F7" s="189">
        <f>'Application Training'!H9</f>
        <v>1500</v>
      </c>
      <c r="G7" s="72">
        <f aca="true" t="shared" si="0" ref="G7:G19">F7*E7</f>
        <v>15000</v>
      </c>
      <c r="H7" s="6"/>
    </row>
    <row r="8" spans="1:8" ht="12.75">
      <c r="A8" s="4"/>
      <c r="B8" s="5"/>
      <c r="C8" s="76" t="s">
        <v>29</v>
      </c>
      <c r="D8" s="5"/>
      <c r="E8" s="317">
        <f>'Application Training'!F10</f>
        <v>1</v>
      </c>
      <c r="F8" s="189">
        <f>'Application Training'!H10</f>
        <v>1500</v>
      </c>
      <c r="G8" s="72">
        <f t="shared" si="0"/>
        <v>1500</v>
      </c>
      <c r="H8" s="6"/>
    </row>
    <row r="9" spans="1:8" ht="12.75">
      <c r="A9" s="4"/>
      <c r="B9" s="5"/>
      <c r="C9" s="77" t="s">
        <v>30</v>
      </c>
      <c r="D9" s="5"/>
      <c r="E9" s="317">
        <f>'Application Training'!F11</f>
        <v>0</v>
      </c>
      <c r="F9" s="189">
        <f>'Application Training'!H11</f>
        <v>1500</v>
      </c>
      <c r="G9" s="72">
        <f t="shared" si="0"/>
        <v>0</v>
      </c>
      <c r="H9" s="6"/>
    </row>
    <row r="10" spans="1:8" ht="12.75">
      <c r="A10" s="4"/>
      <c r="B10" s="5"/>
      <c r="C10" s="76" t="s">
        <v>31</v>
      </c>
      <c r="D10" s="5"/>
      <c r="E10" s="317">
        <f>'Application Training'!F12</f>
        <v>5</v>
      </c>
      <c r="F10" s="189">
        <f>'Application Training'!H12</f>
        <v>1500</v>
      </c>
      <c r="G10" s="72">
        <f t="shared" si="0"/>
        <v>7500</v>
      </c>
      <c r="H10" s="6"/>
    </row>
    <row r="11" spans="1:8" ht="12.75">
      <c r="A11" s="4"/>
      <c r="B11" s="5"/>
      <c r="C11" s="76" t="s">
        <v>32</v>
      </c>
      <c r="D11" s="5"/>
      <c r="E11" s="317">
        <f>'Application Training'!F13</f>
        <v>0</v>
      </c>
      <c r="F11" s="189">
        <f>'Application Training'!H13</f>
        <v>1500</v>
      </c>
      <c r="G11" s="72">
        <f t="shared" si="0"/>
        <v>0</v>
      </c>
      <c r="H11" s="6"/>
    </row>
    <row r="12" spans="1:8" ht="12.75">
      <c r="A12" s="4"/>
      <c r="B12" s="5"/>
      <c r="C12" s="76" t="s">
        <v>33</v>
      </c>
      <c r="D12" s="5"/>
      <c r="E12" s="317">
        <f>'Application Training'!F14</f>
        <v>5</v>
      </c>
      <c r="F12" s="189">
        <f>'Application Training'!H14</f>
        <v>1500</v>
      </c>
      <c r="G12" s="72">
        <f t="shared" si="0"/>
        <v>7500</v>
      </c>
      <c r="H12" s="6"/>
    </row>
    <row r="13" spans="1:8" ht="12.75">
      <c r="A13" s="4"/>
      <c r="B13" s="5"/>
      <c r="C13" s="76" t="s">
        <v>289</v>
      </c>
      <c r="D13" s="5"/>
      <c r="E13" s="317">
        <f>'Application Training'!F15</f>
        <v>25</v>
      </c>
      <c r="F13" s="189">
        <f>'Application Training'!H15</f>
        <v>1500</v>
      </c>
      <c r="G13" s="72">
        <f t="shared" si="0"/>
        <v>37500</v>
      </c>
      <c r="H13" s="6"/>
    </row>
    <row r="14" spans="1:8" ht="12.75">
      <c r="A14" s="4"/>
      <c r="B14" s="5"/>
      <c r="C14" s="76" t="s">
        <v>290</v>
      </c>
      <c r="D14" s="5"/>
      <c r="E14" s="317">
        <f>'Application Training'!F16</f>
        <v>1</v>
      </c>
      <c r="F14" s="189">
        <f>'Application Training'!H16</f>
        <v>1500</v>
      </c>
      <c r="G14" s="72">
        <f t="shared" si="0"/>
        <v>1500</v>
      </c>
      <c r="H14" s="6"/>
    </row>
    <row r="15" spans="1:8" ht="12.75">
      <c r="A15" s="4"/>
      <c r="B15" s="5"/>
      <c r="C15" s="76" t="s">
        <v>293</v>
      </c>
      <c r="D15" s="5"/>
      <c r="E15" s="317">
        <f>'Application Training'!F17</f>
        <v>0</v>
      </c>
      <c r="F15" s="189">
        <f>'Application Training'!H17</f>
        <v>1500</v>
      </c>
      <c r="G15" s="72">
        <f t="shared" si="0"/>
        <v>0</v>
      </c>
      <c r="H15" s="6"/>
    </row>
    <row r="16" spans="1:8" ht="12.75">
      <c r="A16" s="4"/>
      <c r="B16" s="5"/>
      <c r="C16" s="76" t="s">
        <v>34</v>
      </c>
      <c r="D16" s="5"/>
      <c r="E16" s="317">
        <f>'Application Training'!F18</f>
        <v>1</v>
      </c>
      <c r="F16" s="189">
        <f>'Application Training'!H18</f>
        <v>1500</v>
      </c>
      <c r="G16" s="72">
        <f t="shared" si="0"/>
        <v>1500</v>
      </c>
      <c r="H16" s="6"/>
    </row>
    <row r="17" spans="1:8" ht="12.75">
      <c r="A17" s="4"/>
      <c r="B17" s="5"/>
      <c r="C17" s="5" t="s">
        <v>48</v>
      </c>
      <c r="D17" s="5"/>
      <c r="E17" s="317">
        <f>'Application Training'!F19</f>
        <v>1625</v>
      </c>
      <c r="F17" s="189">
        <f>'Application Training'!H19</f>
        <v>1200</v>
      </c>
      <c r="G17" s="72">
        <f t="shared" si="0"/>
        <v>1950000</v>
      </c>
      <c r="H17" s="6"/>
    </row>
    <row r="18" spans="1:8" ht="12.75">
      <c r="A18" s="4"/>
      <c r="B18" s="5"/>
      <c r="C18" s="5" t="s">
        <v>270</v>
      </c>
      <c r="D18" s="5"/>
      <c r="E18" s="317">
        <f>'Application Training'!F20</f>
        <v>625</v>
      </c>
      <c r="F18" s="189">
        <f>'Application Training'!H20</f>
        <v>800</v>
      </c>
      <c r="G18" s="72">
        <f t="shared" si="0"/>
        <v>500000</v>
      </c>
      <c r="H18" s="6"/>
    </row>
    <row r="19" spans="1:8" ht="13.5" thickBot="1">
      <c r="A19" s="4"/>
      <c r="B19" s="22"/>
      <c r="C19" s="22" t="s">
        <v>49</v>
      </c>
      <c r="D19" s="22"/>
      <c r="E19" s="318">
        <f>'Application Training'!F21</f>
        <v>250</v>
      </c>
      <c r="F19" s="188">
        <f>'Application Training'!H21</f>
        <v>500</v>
      </c>
      <c r="G19" s="57">
        <f t="shared" si="0"/>
        <v>125000</v>
      </c>
      <c r="H19" s="6"/>
    </row>
    <row r="20" spans="1:8" ht="13.5" thickTop="1">
      <c r="A20" s="4"/>
      <c r="B20" s="5" t="s">
        <v>269</v>
      </c>
      <c r="C20" s="5"/>
      <c r="D20" s="5"/>
      <c r="E20" s="5"/>
      <c r="F20" s="5"/>
      <c r="G20" s="31">
        <f>SUM(G6:G19)</f>
        <v>2648500</v>
      </c>
      <c r="H20" s="6"/>
    </row>
    <row r="21" spans="1:8" ht="12.75">
      <c r="A21" s="4"/>
      <c r="B21" s="5"/>
      <c r="C21" s="5"/>
      <c r="D21" s="5"/>
      <c r="E21" s="5"/>
      <c r="F21" s="5"/>
      <c r="G21" s="31"/>
      <c r="H21" s="6"/>
    </row>
    <row r="22" spans="1:8" ht="12.75">
      <c r="A22" s="4"/>
      <c r="B22" s="15" t="s">
        <v>368</v>
      </c>
      <c r="C22" s="5"/>
      <c r="D22" s="5"/>
      <c r="E22" s="5"/>
      <c r="F22" s="5"/>
      <c r="G22" s="31"/>
      <c r="H22" s="6"/>
    </row>
    <row r="23" spans="1:8" ht="12.75">
      <c r="A23" s="4"/>
      <c r="B23" s="5"/>
      <c r="C23" s="5"/>
      <c r="D23" s="5"/>
      <c r="E23" s="5" t="s">
        <v>172</v>
      </c>
      <c r="F23" s="5" t="s">
        <v>178</v>
      </c>
      <c r="G23" s="31"/>
      <c r="H23" s="6"/>
    </row>
    <row r="24" spans="1:8" ht="12.75">
      <c r="A24" s="4"/>
      <c r="B24" s="76" t="s">
        <v>27</v>
      </c>
      <c r="C24" s="5"/>
      <c r="D24" s="5"/>
      <c r="E24" s="192">
        <f>'Detailed Data'!G11</f>
        <v>1</v>
      </c>
      <c r="F24" s="103">
        <f>'Application Training'!G8</f>
        <v>35</v>
      </c>
      <c r="G24" s="20">
        <f>F24*'FatClient Base Data'!G10*E24</f>
        <v>1406.7307692307693</v>
      </c>
      <c r="H24" s="6"/>
    </row>
    <row r="25" spans="1:8" ht="12.75">
      <c r="A25" s="4"/>
      <c r="B25" s="76" t="s">
        <v>28</v>
      </c>
      <c r="C25" s="5"/>
      <c r="D25" s="5"/>
      <c r="E25" s="192">
        <f>'Detailed Data'!G12</f>
        <v>10</v>
      </c>
      <c r="F25" s="103">
        <f>'Application Training'!G9</f>
        <v>35</v>
      </c>
      <c r="G25" s="20">
        <f>F25*'FatClient Base Data'!G11*E25</f>
        <v>11509.615384615387</v>
      </c>
      <c r="H25" s="6"/>
    </row>
    <row r="26" spans="1:8" ht="12.75">
      <c r="A26" s="4"/>
      <c r="B26" s="76" t="s">
        <v>29</v>
      </c>
      <c r="C26" s="5"/>
      <c r="D26" s="5"/>
      <c r="E26" s="192">
        <f>'Detailed Data'!G13</f>
        <v>1</v>
      </c>
      <c r="F26" s="103">
        <f>'Application Training'!G10</f>
        <v>35</v>
      </c>
      <c r="G26" s="20">
        <f>F26*'FatClient Base Data'!G12*E26</f>
        <v>1662.5</v>
      </c>
      <c r="H26" s="6"/>
    </row>
    <row r="27" spans="1:8" ht="12.75">
      <c r="A27" s="4"/>
      <c r="B27" s="77" t="s">
        <v>30</v>
      </c>
      <c r="C27" s="5"/>
      <c r="D27" s="5"/>
      <c r="E27" s="192">
        <f>'Detailed Data'!G14</f>
        <v>0</v>
      </c>
      <c r="F27" s="103">
        <f>'Application Training'!G11</f>
        <v>35</v>
      </c>
      <c r="G27" s="20">
        <f>F27*'FatClient Base Data'!G13*E27</f>
        <v>0</v>
      </c>
      <c r="H27" s="6"/>
    </row>
    <row r="28" spans="1:8" ht="12.75">
      <c r="A28" s="4"/>
      <c r="B28" s="76" t="s">
        <v>31</v>
      </c>
      <c r="C28" s="5"/>
      <c r="D28" s="5"/>
      <c r="E28" s="192">
        <f>'Detailed Data'!G15</f>
        <v>5</v>
      </c>
      <c r="F28" s="103">
        <f>'Application Training'!G12</f>
        <v>35</v>
      </c>
      <c r="G28" s="20">
        <f>F28*'FatClient Base Data'!G14*E28</f>
        <v>8312.5</v>
      </c>
      <c r="H28" s="6"/>
    </row>
    <row r="29" spans="1:8" ht="12.75">
      <c r="A29" s="4"/>
      <c r="B29" s="76" t="s">
        <v>32</v>
      </c>
      <c r="C29" s="5"/>
      <c r="D29" s="5"/>
      <c r="E29" s="192">
        <f>'Detailed Data'!G16</f>
        <v>0</v>
      </c>
      <c r="F29" s="103">
        <f>'Application Training'!G13</f>
        <v>35</v>
      </c>
      <c r="G29" s="20">
        <f>F29*'FatClient Base Data'!G15*E29</f>
        <v>0</v>
      </c>
      <c r="H29" s="6"/>
    </row>
    <row r="30" spans="1:8" ht="12.75">
      <c r="A30" s="4"/>
      <c r="B30" s="76" t="s">
        <v>33</v>
      </c>
      <c r="C30" s="5"/>
      <c r="D30" s="5"/>
      <c r="E30" s="192">
        <f>'Detailed Data'!G17</f>
        <v>5</v>
      </c>
      <c r="F30" s="103">
        <f>'Application Training'!G14</f>
        <v>35</v>
      </c>
      <c r="G30" s="20">
        <f>F30*'FatClient Base Data'!G16*E30</f>
        <v>8760.096153846154</v>
      </c>
      <c r="H30" s="6"/>
    </row>
    <row r="31" spans="1:8" ht="12.75">
      <c r="A31" s="4"/>
      <c r="B31" s="76" t="s">
        <v>289</v>
      </c>
      <c r="C31" s="5"/>
      <c r="D31" s="5"/>
      <c r="E31" s="192">
        <f>'Detailed Data'!G18</f>
        <v>25</v>
      </c>
      <c r="F31" s="103">
        <f>'Application Training'!G15</f>
        <v>35</v>
      </c>
      <c r="G31" s="20">
        <f>F31*'FatClient Base Data'!G17*E31</f>
        <v>33250</v>
      </c>
      <c r="H31" s="6"/>
    </row>
    <row r="32" spans="1:8" ht="12.75">
      <c r="A32" s="4"/>
      <c r="B32" s="76" t="s">
        <v>290</v>
      </c>
      <c r="C32" s="5"/>
      <c r="D32" s="5"/>
      <c r="E32" s="192">
        <f>'Detailed Data'!G19</f>
        <v>1</v>
      </c>
      <c r="F32" s="103">
        <f>'Application Training'!G16</f>
        <v>35</v>
      </c>
      <c r="G32" s="20">
        <f>F32*'FatClient Base Data'!G18*E32</f>
        <v>1918.2692307692307</v>
      </c>
      <c r="H32" s="6"/>
    </row>
    <row r="33" spans="1:8" ht="12.75">
      <c r="A33" s="4"/>
      <c r="B33" s="76" t="s">
        <v>293</v>
      </c>
      <c r="C33" s="5"/>
      <c r="D33" s="5"/>
      <c r="E33" s="192">
        <f>'Detailed Data'!G20</f>
        <v>0</v>
      </c>
      <c r="F33" s="103">
        <f>'Application Training'!G17</f>
        <v>35</v>
      </c>
      <c r="G33" s="20">
        <f>F33*'FatClient Base Data'!G19*E33</f>
        <v>0</v>
      </c>
      <c r="H33" s="6"/>
    </row>
    <row r="34" spans="1:8" ht="12.75">
      <c r="A34" s="4"/>
      <c r="B34" s="76" t="s">
        <v>34</v>
      </c>
      <c r="C34" s="5"/>
      <c r="D34" s="5"/>
      <c r="E34" s="192">
        <f>'Detailed Data'!G21</f>
        <v>1</v>
      </c>
      <c r="F34" s="103">
        <f>'Application Training'!G18</f>
        <v>35</v>
      </c>
      <c r="G34" s="20">
        <f>F34*'FatClient Base Data'!G20*E34</f>
        <v>1112.5961538461538</v>
      </c>
      <c r="H34" s="6"/>
    </row>
    <row r="35" spans="1:8" ht="12.75">
      <c r="A35" s="4"/>
      <c r="B35" s="5" t="s">
        <v>48</v>
      </c>
      <c r="C35" s="5"/>
      <c r="D35" s="5"/>
      <c r="E35" s="136">
        <f>0.65*'Front End'!G3</f>
        <v>1625</v>
      </c>
      <c r="F35" s="103">
        <f>'Application Training'!G19</f>
        <v>20</v>
      </c>
      <c r="G35" s="20">
        <f>F35*'FatClient Base Data'!G25*E35</f>
        <v>950000</v>
      </c>
      <c r="H35" s="6"/>
    </row>
    <row r="36" spans="1:8" ht="12.75">
      <c r="A36" s="4"/>
      <c r="B36" s="5" t="s">
        <v>270</v>
      </c>
      <c r="C36" s="5"/>
      <c r="D36" s="5"/>
      <c r="E36" s="136">
        <f>0.25*'Front End'!G3</f>
        <v>625</v>
      </c>
      <c r="F36" s="103">
        <f>'Application Training'!G20</f>
        <v>8</v>
      </c>
      <c r="G36" s="20">
        <f>F36*'FatClient Base Data'!G26*E36</f>
        <v>292307.6923076923</v>
      </c>
      <c r="H36" s="6"/>
    </row>
    <row r="37" spans="1:8" ht="13.5" thickBot="1">
      <c r="A37" s="4"/>
      <c r="B37" s="22" t="s">
        <v>49</v>
      </c>
      <c r="C37" s="22"/>
      <c r="D37" s="22"/>
      <c r="E37" s="137">
        <f>0.1*'Front End'!G3</f>
        <v>250</v>
      </c>
      <c r="F37" s="191">
        <f>'Application Training'!G21</f>
        <v>2</v>
      </c>
      <c r="G37" s="79">
        <f>F37*'FatClient Base Data'!G27*E37</f>
        <v>54807.692307692305</v>
      </c>
      <c r="H37" s="6"/>
    </row>
    <row r="38" spans="1:8" ht="13.5" thickTop="1">
      <c r="A38" s="4"/>
      <c r="B38" s="76" t="s">
        <v>269</v>
      </c>
      <c r="C38" s="5"/>
      <c r="D38" s="5"/>
      <c r="E38" s="5"/>
      <c r="F38" s="5"/>
      <c r="G38" s="31">
        <f>SUM(G24:G37)</f>
        <v>1365047.6923076923</v>
      </c>
      <c r="H38" s="6"/>
    </row>
    <row r="39" spans="1:8" ht="13.5" thickBot="1">
      <c r="A39" s="4"/>
      <c r="B39" s="5"/>
      <c r="C39" s="5"/>
      <c r="D39" s="5"/>
      <c r="E39" s="5"/>
      <c r="F39" s="5"/>
      <c r="G39" s="31"/>
      <c r="H39" s="6"/>
    </row>
    <row r="40" spans="1:8" ht="14.25" thickBot="1" thickTop="1">
      <c r="A40" s="4"/>
      <c r="B40" s="37" t="s">
        <v>513</v>
      </c>
      <c r="C40" s="38"/>
      <c r="D40" s="38"/>
      <c r="E40" s="38"/>
      <c r="F40" s="38"/>
      <c r="G40" s="39">
        <f>SUM(G38,G20)</f>
        <v>4013547.692307692</v>
      </c>
      <c r="H40" s="6"/>
    </row>
    <row r="41" spans="1:8" ht="13.5" thickTop="1">
      <c r="A41" s="4"/>
      <c r="B41" s="5"/>
      <c r="C41" s="5"/>
      <c r="D41" s="5"/>
      <c r="E41" s="5"/>
      <c r="F41" s="5"/>
      <c r="G41" s="5"/>
      <c r="H41" s="6"/>
    </row>
    <row r="42" spans="1:8" ht="13.5" thickBot="1">
      <c r="A42" s="7"/>
      <c r="B42" s="8"/>
      <c r="C42" s="8"/>
      <c r="D42" s="8"/>
      <c r="E42" s="8"/>
      <c r="F42" s="8"/>
      <c r="G42" s="8"/>
      <c r="H42" s="9"/>
    </row>
    <row r="43" ht="13.5" thickTop="1"/>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60">
      <c r="A55" s="134" t="s">
        <v>249</v>
      </c>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60">
      <c r="A63" s="134"/>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60">
      <c r="A74" s="133"/>
      <c r="B74" s="133"/>
      <c r="C74" s="133"/>
      <c r="D74" s="134"/>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24.xml><?xml version="1.0" encoding="utf-8"?>
<worksheet xmlns="http://schemas.openxmlformats.org/spreadsheetml/2006/main" xmlns:r="http://schemas.openxmlformats.org/officeDocument/2006/relationships">
  <sheetPr codeName="Sheet10">
    <pageSetUpPr fitToPage="1"/>
  </sheetPr>
  <dimension ref="A1:O129"/>
  <sheetViews>
    <sheetView workbookViewId="0" topLeftCell="A90">
      <selection activeCell="H66" sqref="H66"/>
    </sheetView>
  </sheetViews>
  <sheetFormatPr defaultColWidth="9.140625" defaultRowHeight="12.75"/>
  <cols>
    <col min="2" max="2" width="10.421875" style="0" customWidth="1"/>
    <col min="6" max="6" width="16.140625" style="0" customWidth="1"/>
    <col min="7" max="7" width="13.8515625" style="0" customWidth="1"/>
    <col min="8" max="8" width="12.42187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372</v>
      </c>
      <c r="C3" s="5"/>
      <c r="D3" s="5"/>
      <c r="E3" s="5"/>
      <c r="F3" s="5"/>
      <c r="G3" s="5"/>
      <c r="H3" s="5"/>
      <c r="I3" s="6"/>
    </row>
    <row r="4" spans="1:9" ht="12.75">
      <c r="A4" s="4"/>
      <c r="B4" s="5"/>
      <c r="C4" s="5"/>
      <c r="D4" s="5"/>
      <c r="E4" s="5"/>
      <c r="F4" s="5"/>
      <c r="G4" s="51" t="s">
        <v>1</v>
      </c>
      <c r="H4" s="51"/>
      <c r="I4" s="6"/>
    </row>
    <row r="5" spans="1:9" ht="18" customHeight="1">
      <c r="A5" s="58"/>
      <c r="B5" s="30" t="s">
        <v>373</v>
      </c>
      <c r="C5" s="5"/>
      <c r="D5" s="5"/>
      <c r="E5" s="5"/>
      <c r="F5" s="5" t="s">
        <v>265</v>
      </c>
      <c r="G5" s="51" t="s">
        <v>101</v>
      </c>
      <c r="H5" s="142" t="s">
        <v>41</v>
      </c>
      <c r="I5" s="6"/>
    </row>
    <row r="6" spans="1:9" ht="12.75" customHeight="1">
      <c r="A6" s="4"/>
      <c r="B6" s="59"/>
      <c r="C6" s="5" t="s">
        <v>12</v>
      </c>
      <c r="D6" s="5"/>
      <c r="E6" s="5"/>
      <c r="F6" s="94">
        <f>'Hardware Procurement'!G7</f>
        <v>4000</v>
      </c>
      <c r="G6" s="163">
        <f>'Hardware Procurement'!H7</f>
        <v>2</v>
      </c>
      <c r="H6" s="31">
        <f aca="true" t="shared" si="0" ref="H6:H15">F6*G6</f>
        <v>8000</v>
      </c>
      <c r="I6" s="6"/>
    </row>
    <row r="7" spans="1:9" ht="12.75">
      <c r="A7" s="4"/>
      <c r="B7" s="5"/>
      <c r="C7" s="5" t="s">
        <v>102</v>
      </c>
      <c r="D7" s="5"/>
      <c r="E7" s="5"/>
      <c r="F7" s="94">
        <f>'Hardware Procurement'!G8</f>
        <v>1100</v>
      </c>
      <c r="G7" s="163">
        <f>'Hardware Procurement'!H8</f>
        <v>12</v>
      </c>
      <c r="H7" s="31">
        <f t="shared" si="0"/>
        <v>13200</v>
      </c>
      <c r="I7" s="6"/>
    </row>
    <row r="8" spans="1:9" ht="12.75">
      <c r="A8" s="4"/>
      <c r="B8" s="5"/>
      <c r="C8" s="5" t="s">
        <v>103</v>
      </c>
      <c r="D8" s="5"/>
      <c r="E8" s="5"/>
      <c r="F8" s="94">
        <f>'Hardware Procurement'!G9</f>
        <v>260</v>
      </c>
      <c r="G8" s="163">
        <f>'Hardware Procurement'!H9</f>
        <v>2</v>
      </c>
      <c r="H8" s="31">
        <f t="shared" si="0"/>
        <v>520</v>
      </c>
      <c r="I8" s="6"/>
    </row>
    <row r="9" spans="1:9" ht="12.75">
      <c r="A9" s="4"/>
      <c r="B9" s="5"/>
      <c r="C9" s="5" t="s">
        <v>104</v>
      </c>
      <c r="D9" s="5"/>
      <c r="E9" s="5"/>
      <c r="F9" s="94">
        <f>'Hardware Procurement'!G10</f>
        <v>800</v>
      </c>
      <c r="G9" s="163">
        <f>'Hardware Procurement'!H10</f>
        <v>2</v>
      </c>
      <c r="H9" s="31">
        <f t="shared" si="0"/>
        <v>1600</v>
      </c>
      <c r="I9" s="6"/>
    </row>
    <row r="10" spans="1:9" ht="12.75">
      <c r="A10" s="4"/>
      <c r="B10" s="5"/>
      <c r="C10" s="5" t="s">
        <v>250</v>
      </c>
      <c r="D10" s="5"/>
      <c r="E10" s="5"/>
      <c r="F10" s="94">
        <f>'Hardware Procurement'!G11</f>
        <v>150</v>
      </c>
      <c r="G10" s="163">
        <f>'Hardware Procurement'!H11</f>
        <v>2</v>
      </c>
      <c r="H10" s="31">
        <f t="shared" si="0"/>
        <v>300</v>
      </c>
      <c r="I10" s="6"/>
    </row>
    <row r="11" spans="1:9" ht="12.75">
      <c r="A11" s="4"/>
      <c r="B11" s="5"/>
      <c r="C11" s="5" t="s">
        <v>105</v>
      </c>
      <c r="D11" s="5"/>
      <c r="E11" s="5"/>
      <c r="F11" s="94">
        <f>'Hardware Procurement'!G12</f>
        <v>1200</v>
      </c>
      <c r="G11" s="163">
        <f>'Hardware Procurement'!H12</f>
        <v>2</v>
      </c>
      <c r="H11" s="31">
        <f t="shared" si="0"/>
        <v>2400</v>
      </c>
      <c r="I11" s="6"/>
    </row>
    <row r="12" spans="1:9" ht="12.75">
      <c r="A12" s="4"/>
      <c r="B12" s="5"/>
      <c r="C12" s="5" t="s">
        <v>251</v>
      </c>
      <c r="D12" s="5"/>
      <c r="E12" s="5"/>
      <c r="F12" s="94">
        <f>'Hardware Procurement'!G13</f>
        <v>5000</v>
      </c>
      <c r="G12" s="163">
        <f>'Hardware Procurement'!H13</f>
        <v>2</v>
      </c>
      <c r="H12" s="31">
        <f t="shared" si="0"/>
        <v>10000</v>
      </c>
      <c r="I12" s="6"/>
    </row>
    <row r="13" spans="1:9" ht="12.75">
      <c r="A13" s="4"/>
      <c r="B13" s="5"/>
      <c r="C13" s="5" t="s">
        <v>252</v>
      </c>
      <c r="D13" s="5"/>
      <c r="E13" s="5"/>
      <c r="F13" s="94">
        <f>'Hardware Procurement'!G14</f>
        <v>900</v>
      </c>
      <c r="G13" s="163">
        <f>'Hardware Procurement'!H14</f>
        <v>2</v>
      </c>
      <c r="H13" s="31">
        <f t="shared" si="0"/>
        <v>1800</v>
      </c>
      <c r="I13" s="6"/>
    </row>
    <row r="14" spans="1:9" ht="12.75">
      <c r="A14" s="4"/>
      <c r="B14" s="5"/>
      <c r="C14" s="5" t="s">
        <v>253</v>
      </c>
      <c r="D14" s="5"/>
      <c r="E14" s="5"/>
      <c r="F14" s="94">
        <f>'Hardware Procurement'!G15</f>
        <v>550</v>
      </c>
      <c r="G14" s="163">
        <f>'Hardware Procurement'!H15</f>
        <v>2</v>
      </c>
      <c r="H14" s="31">
        <f t="shared" si="0"/>
        <v>1100</v>
      </c>
      <c r="I14" s="6"/>
    </row>
    <row r="15" spans="1:9" ht="13.5" thickBot="1">
      <c r="A15" s="52"/>
      <c r="B15" s="22"/>
      <c r="C15" s="22" t="s">
        <v>25</v>
      </c>
      <c r="D15" s="22"/>
      <c r="E15" s="22"/>
      <c r="F15" s="288">
        <f>'Hardware Procurement'!G16</f>
        <v>0</v>
      </c>
      <c r="G15" s="289">
        <f>'Hardware Procurement'!H16</f>
        <v>2</v>
      </c>
      <c r="H15" s="35">
        <f t="shared" si="0"/>
        <v>0</v>
      </c>
      <c r="I15" s="6"/>
    </row>
    <row r="16" spans="1:9" ht="13.5" thickTop="1">
      <c r="A16" s="4"/>
      <c r="B16" s="5" t="s">
        <v>269</v>
      </c>
      <c r="C16" s="5"/>
      <c r="D16" s="5"/>
      <c r="E16" s="5"/>
      <c r="F16" s="31"/>
      <c r="G16" s="5"/>
      <c r="H16" s="31">
        <f>SUM(H6:H15)</f>
        <v>38920</v>
      </c>
      <c r="I16" s="6"/>
    </row>
    <row r="17" spans="1:9" ht="12.75" customHeight="1">
      <c r="A17" s="4"/>
      <c r="B17" s="5"/>
      <c r="C17" s="5"/>
      <c r="D17" s="5"/>
      <c r="E17" s="5"/>
      <c r="F17" s="31"/>
      <c r="G17" s="5"/>
      <c r="H17" s="5"/>
      <c r="I17" s="6"/>
    </row>
    <row r="18" spans="1:9" ht="15" customHeight="1">
      <c r="A18" s="14"/>
      <c r="B18" s="30" t="s">
        <v>374</v>
      </c>
      <c r="C18" s="5"/>
      <c r="D18" s="5"/>
      <c r="E18" s="5"/>
      <c r="F18" s="31"/>
      <c r="G18" s="5"/>
      <c r="H18" s="5"/>
      <c r="I18" s="6"/>
    </row>
    <row r="19" spans="1:9" ht="12.75" customHeight="1">
      <c r="A19" s="14"/>
      <c r="B19" s="59"/>
      <c r="C19" s="5" t="s">
        <v>12</v>
      </c>
      <c r="D19" s="5"/>
      <c r="E19" s="5"/>
      <c r="F19" s="85">
        <f>'Hardware Procurement'!G19</f>
        <v>4000</v>
      </c>
      <c r="G19" s="160">
        <f>'Hardware Procurement'!H19</f>
        <v>1</v>
      </c>
      <c r="H19" s="31">
        <f aca="true" t="shared" si="1" ref="H19:H28">F19*G19</f>
        <v>4000</v>
      </c>
      <c r="I19" s="6"/>
    </row>
    <row r="20" spans="1:9" ht="12.75" customHeight="1">
      <c r="A20" s="14"/>
      <c r="B20" s="59"/>
      <c r="C20" s="5" t="s">
        <v>102</v>
      </c>
      <c r="D20" s="5"/>
      <c r="E20" s="5"/>
      <c r="F20" s="85">
        <f>'Hardware Procurement'!G20</f>
        <v>1100</v>
      </c>
      <c r="G20" s="160">
        <f>'Hardware Procurement'!H20</f>
        <v>6</v>
      </c>
      <c r="H20" s="31">
        <f t="shared" si="1"/>
        <v>6600</v>
      </c>
      <c r="I20" s="6"/>
    </row>
    <row r="21" spans="1:9" ht="12.75" customHeight="1">
      <c r="A21" s="14"/>
      <c r="B21" s="59"/>
      <c r="C21" s="5" t="s">
        <v>103</v>
      </c>
      <c r="D21" s="5"/>
      <c r="E21" s="5"/>
      <c r="F21" s="85">
        <f>'Hardware Procurement'!G21</f>
        <v>260</v>
      </c>
      <c r="G21" s="160">
        <f>'Hardware Procurement'!H21</f>
        <v>1</v>
      </c>
      <c r="H21" s="31">
        <f t="shared" si="1"/>
        <v>260</v>
      </c>
      <c r="I21" s="6"/>
    </row>
    <row r="22" spans="1:9" ht="12.75" customHeight="1">
      <c r="A22" s="14"/>
      <c r="B22" s="59"/>
      <c r="C22" s="5" t="s">
        <v>104</v>
      </c>
      <c r="D22" s="5"/>
      <c r="E22" s="5"/>
      <c r="F22" s="85">
        <f>'Hardware Procurement'!G22</f>
        <v>800</v>
      </c>
      <c r="G22" s="160">
        <f>'Hardware Procurement'!H22</f>
        <v>1</v>
      </c>
      <c r="H22" s="31">
        <f t="shared" si="1"/>
        <v>800</v>
      </c>
      <c r="I22" s="6"/>
    </row>
    <row r="23" spans="1:9" ht="12.75" customHeight="1">
      <c r="A23" s="14"/>
      <c r="B23" s="59"/>
      <c r="C23" s="5" t="s">
        <v>250</v>
      </c>
      <c r="D23" s="5"/>
      <c r="E23" s="5"/>
      <c r="F23" s="85">
        <f>'Hardware Procurement'!G23</f>
        <v>150</v>
      </c>
      <c r="G23" s="160">
        <f>'Hardware Procurement'!H23</f>
        <v>1</v>
      </c>
      <c r="H23" s="31">
        <f t="shared" si="1"/>
        <v>150</v>
      </c>
      <c r="I23" s="6"/>
    </row>
    <row r="24" spans="1:9" ht="12.75" customHeight="1">
      <c r="A24" s="14"/>
      <c r="B24" s="59"/>
      <c r="C24" s="5" t="s">
        <v>105</v>
      </c>
      <c r="D24" s="5"/>
      <c r="E24" s="5"/>
      <c r="F24" s="85">
        <f>'Hardware Procurement'!G24</f>
        <v>1200</v>
      </c>
      <c r="G24" s="160">
        <f>'Hardware Procurement'!H24</f>
        <v>1</v>
      </c>
      <c r="H24" s="31">
        <f t="shared" si="1"/>
        <v>1200</v>
      </c>
      <c r="I24" s="6"/>
    </row>
    <row r="25" spans="1:9" ht="12.75" customHeight="1">
      <c r="A25" s="14"/>
      <c r="B25" s="59"/>
      <c r="C25" s="5" t="s">
        <v>251</v>
      </c>
      <c r="D25" s="5"/>
      <c r="E25" s="5"/>
      <c r="F25" s="85">
        <f>'Hardware Procurement'!G25</f>
        <v>5000</v>
      </c>
      <c r="G25" s="160">
        <f>'Hardware Procurement'!H25</f>
        <v>0</v>
      </c>
      <c r="H25" s="31">
        <f t="shared" si="1"/>
        <v>0</v>
      </c>
      <c r="I25" s="6"/>
    </row>
    <row r="26" spans="1:9" ht="12.75" customHeight="1">
      <c r="A26" s="14"/>
      <c r="B26" s="59"/>
      <c r="C26" s="5" t="s">
        <v>252</v>
      </c>
      <c r="D26" s="5"/>
      <c r="E26" s="5"/>
      <c r="F26" s="85">
        <f>'Hardware Procurement'!G26</f>
        <v>900</v>
      </c>
      <c r="G26" s="160">
        <f>'Hardware Procurement'!H26</f>
        <v>1</v>
      </c>
      <c r="H26" s="31">
        <f t="shared" si="1"/>
        <v>900</v>
      </c>
      <c r="I26" s="6"/>
    </row>
    <row r="27" spans="1:9" ht="12.75">
      <c r="A27" s="4"/>
      <c r="B27" s="59"/>
      <c r="C27" s="5" t="s">
        <v>253</v>
      </c>
      <c r="D27" s="5"/>
      <c r="E27" s="5"/>
      <c r="F27" s="85">
        <f>'Hardware Procurement'!G27</f>
        <v>550</v>
      </c>
      <c r="G27" s="160">
        <f>'Hardware Procurement'!H27</f>
        <v>1</v>
      </c>
      <c r="H27" s="31">
        <f t="shared" si="1"/>
        <v>550</v>
      </c>
      <c r="I27" s="6"/>
    </row>
    <row r="28" spans="1:9" ht="13.5" thickBot="1">
      <c r="A28" s="52"/>
      <c r="B28" s="60"/>
      <c r="C28" s="22" t="s">
        <v>25</v>
      </c>
      <c r="D28" s="22"/>
      <c r="E28" s="22"/>
      <c r="F28" s="91">
        <f>'Hardware Procurement'!G28</f>
        <v>0</v>
      </c>
      <c r="G28" s="161">
        <f>'Hardware Procurement'!H28</f>
        <v>0</v>
      </c>
      <c r="H28" s="35">
        <f t="shared" si="1"/>
        <v>0</v>
      </c>
      <c r="I28" s="6"/>
    </row>
    <row r="29" spans="1:9" ht="13.5" thickTop="1">
      <c r="A29" s="4"/>
      <c r="B29" s="5" t="s">
        <v>269</v>
      </c>
      <c r="C29" s="5"/>
      <c r="D29" s="5"/>
      <c r="E29" s="5"/>
      <c r="F29" s="31"/>
      <c r="G29" s="5"/>
      <c r="H29" s="31">
        <f>SUM(H19:H28)</f>
        <v>14460</v>
      </c>
      <c r="I29" s="6"/>
    </row>
    <row r="30" spans="1:9" ht="12.75" customHeight="1">
      <c r="A30" s="4"/>
      <c r="B30" s="5"/>
      <c r="C30" s="5"/>
      <c r="D30" s="5"/>
      <c r="E30" s="5"/>
      <c r="F30" s="31"/>
      <c r="G30" s="5"/>
      <c r="H30" s="5"/>
      <c r="I30" s="6"/>
    </row>
    <row r="31" spans="1:9" ht="15.75">
      <c r="A31" s="14"/>
      <c r="B31" s="30" t="s">
        <v>375</v>
      </c>
      <c r="C31" s="5"/>
      <c r="D31" s="5"/>
      <c r="E31" s="5"/>
      <c r="F31" s="31"/>
      <c r="G31" s="5"/>
      <c r="H31" s="5"/>
      <c r="I31" s="6"/>
    </row>
    <row r="32" spans="1:9" ht="12.75">
      <c r="A32" s="4"/>
      <c r="B32" s="5"/>
      <c r="C32" s="5" t="s">
        <v>107</v>
      </c>
      <c r="D32" s="5"/>
      <c r="E32" s="5"/>
      <c r="F32" s="85">
        <f>'Hardware Procurement'!G31</f>
        <v>2000</v>
      </c>
      <c r="G32" s="160">
        <f>'Hardware Procurement'!H31</f>
        <v>500</v>
      </c>
      <c r="H32" s="31">
        <f aca="true" t="shared" si="2" ref="H32:H39">F32*G32</f>
        <v>1000000</v>
      </c>
      <c r="I32" s="6"/>
    </row>
    <row r="33" spans="1:9" ht="12.75">
      <c r="A33" s="4"/>
      <c r="B33" s="5"/>
      <c r="C33" s="5" t="s">
        <v>108</v>
      </c>
      <c r="D33" s="5"/>
      <c r="E33" s="5"/>
      <c r="F33" s="85">
        <f>'Hardware Procurement'!G32</f>
        <v>1500</v>
      </c>
      <c r="G33" s="160">
        <f>'Hardware Procurement'!H32</f>
        <v>0</v>
      </c>
      <c r="H33" s="31">
        <f t="shared" si="2"/>
        <v>0</v>
      </c>
      <c r="I33" s="6"/>
    </row>
    <row r="34" spans="1:9" ht="12.75">
      <c r="A34" s="4"/>
      <c r="B34" s="5"/>
      <c r="C34" s="5" t="s">
        <v>109</v>
      </c>
      <c r="D34" s="5"/>
      <c r="E34" s="5"/>
      <c r="F34" s="85">
        <f>'Hardware Procurement'!G33</f>
        <v>1200</v>
      </c>
      <c r="G34" s="160">
        <f>'Hardware Procurement'!H33</f>
        <v>0</v>
      </c>
      <c r="H34" s="31">
        <f t="shared" si="2"/>
        <v>0</v>
      </c>
      <c r="I34" s="6"/>
    </row>
    <row r="35" spans="1:9" ht="12.75">
      <c r="A35" s="4"/>
      <c r="B35" s="5"/>
      <c r="C35" s="5" t="s">
        <v>110</v>
      </c>
      <c r="D35" s="5"/>
      <c r="E35" s="5"/>
      <c r="F35" s="85">
        <f>'Hardware Procurement'!G34</f>
        <v>2000</v>
      </c>
      <c r="G35" s="160">
        <f>'Hardware Procurement'!H34</f>
        <v>0</v>
      </c>
      <c r="H35" s="31">
        <f t="shared" si="2"/>
        <v>0</v>
      </c>
      <c r="I35" s="6"/>
    </row>
    <row r="36" spans="1:9" ht="12.75">
      <c r="A36" s="4"/>
      <c r="B36" s="5"/>
      <c r="C36" s="5"/>
      <c r="D36" s="5" t="s">
        <v>111</v>
      </c>
      <c r="E36" s="5"/>
      <c r="F36" s="85">
        <f>'Hardware Procurement'!G35</f>
        <v>600</v>
      </c>
      <c r="G36" s="160">
        <f>'Hardware Procurement'!H35</f>
        <v>0</v>
      </c>
      <c r="H36" s="31">
        <f t="shared" si="2"/>
        <v>0</v>
      </c>
      <c r="I36" s="6"/>
    </row>
    <row r="37" spans="1:9" ht="12.75">
      <c r="A37" s="4"/>
      <c r="B37" s="5"/>
      <c r="C37" s="5" t="s">
        <v>112</v>
      </c>
      <c r="D37" s="5"/>
      <c r="E37" s="5"/>
      <c r="F37" s="85">
        <f>'Hardware Procurement'!G36</f>
        <v>3900</v>
      </c>
      <c r="G37" s="160">
        <f>'Hardware Procurement'!H36</f>
        <v>50</v>
      </c>
      <c r="H37" s="31">
        <f t="shared" si="2"/>
        <v>195000</v>
      </c>
      <c r="I37" s="6"/>
    </row>
    <row r="38" spans="1:9" ht="12.75">
      <c r="A38" s="4"/>
      <c r="B38" s="5"/>
      <c r="C38" s="5"/>
      <c r="D38" s="5" t="s">
        <v>111</v>
      </c>
      <c r="E38" s="5"/>
      <c r="F38" s="85">
        <f>'Hardware Procurement'!G37</f>
        <v>750</v>
      </c>
      <c r="G38" s="160">
        <f>'Hardware Procurement'!H37</f>
        <v>50</v>
      </c>
      <c r="H38" s="31">
        <f t="shared" si="2"/>
        <v>37500</v>
      </c>
      <c r="I38" s="6"/>
    </row>
    <row r="39" spans="1:9" ht="13.5" thickBot="1">
      <c r="A39" s="52"/>
      <c r="B39" s="22"/>
      <c r="C39" s="22" t="s">
        <v>25</v>
      </c>
      <c r="D39" s="22"/>
      <c r="E39" s="22"/>
      <c r="F39" s="91">
        <f>'Hardware Procurement'!G38</f>
        <v>0</v>
      </c>
      <c r="G39" s="161">
        <f>'Hardware Procurement'!H38</f>
        <v>0</v>
      </c>
      <c r="H39" s="35">
        <f t="shared" si="2"/>
        <v>0</v>
      </c>
      <c r="I39" s="6"/>
    </row>
    <row r="40" spans="1:9" ht="13.5" thickTop="1">
      <c r="A40" s="4"/>
      <c r="B40" s="5" t="s">
        <v>269</v>
      </c>
      <c r="C40" s="5"/>
      <c r="D40" s="5"/>
      <c r="E40" s="5"/>
      <c r="F40" s="31"/>
      <c r="G40" s="5"/>
      <c r="H40" s="31">
        <f>SUM(H32:H39)</f>
        <v>1232500</v>
      </c>
      <c r="I40" s="6"/>
    </row>
    <row r="41" spans="1:9" ht="12.75">
      <c r="A41" s="4"/>
      <c r="B41" s="5"/>
      <c r="C41" s="5"/>
      <c r="D41" s="5"/>
      <c r="E41" s="5"/>
      <c r="F41" s="31"/>
      <c r="G41" s="5"/>
      <c r="H41" s="31"/>
      <c r="I41" s="6"/>
    </row>
    <row r="42" spans="1:9" ht="15.75">
      <c r="A42" s="14"/>
      <c r="B42" s="30" t="s">
        <v>369</v>
      </c>
      <c r="C42" s="5"/>
      <c r="D42" s="5"/>
      <c r="E42" s="5"/>
      <c r="F42" s="31"/>
      <c r="G42" s="5"/>
      <c r="H42" s="31"/>
      <c r="I42" s="6"/>
    </row>
    <row r="43" spans="1:9" ht="12.75">
      <c r="A43" s="4"/>
      <c r="B43" s="5"/>
      <c r="C43" s="5" t="s">
        <v>113</v>
      </c>
      <c r="D43" s="5"/>
      <c r="E43" s="5"/>
      <c r="F43" s="85">
        <f>'Hardware Procurement'!G41</f>
        <v>3000</v>
      </c>
      <c r="G43" s="160">
        <f>'Hardware Procurement'!H41</f>
        <v>0</v>
      </c>
      <c r="H43" s="31">
        <f aca="true" t="shared" si="3" ref="H43:H50">F43*G43</f>
        <v>0</v>
      </c>
      <c r="I43" s="6"/>
    </row>
    <row r="44" spans="1:9" ht="12.75">
      <c r="A44" s="4"/>
      <c r="B44" s="5"/>
      <c r="C44" s="5" t="s">
        <v>114</v>
      </c>
      <c r="D44" s="5"/>
      <c r="E44" s="5"/>
      <c r="F44" s="85">
        <f>'Hardware Procurement'!G42</f>
        <v>1500</v>
      </c>
      <c r="G44" s="160">
        <f>'Hardware Procurement'!H42</f>
        <v>250</v>
      </c>
      <c r="H44" s="31">
        <f t="shared" si="3"/>
        <v>375000</v>
      </c>
      <c r="I44" s="6"/>
    </row>
    <row r="45" spans="1:9" ht="12.75">
      <c r="A45" s="4"/>
      <c r="B45" s="5"/>
      <c r="C45" s="5" t="s">
        <v>115</v>
      </c>
      <c r="D45" s="5"/>
      <c r="E45" s="5"/>
      <c r="F45" s="85">
        <f>'Hardware Procurement'!G43</f>
        <v>5000</v>
      </c>
      <c r="G45" s="160">
        <f>'Hardware Procurement'!H43</f>
        <v>0</v>
      </c>
      <c r="H45" s="31">
        <f t="shared" si="3"/>
        <v>0</v>
      </c>
      <c r="I45" s="6"/>
    </row>
    <row r="46" spans="1:9" ht="12.75">
      <c r="A46" s="4"/>
      <c r="B46" s="5"/>
      <c r="C46" s="5" t="s">
        <v>116</v>
      </c>
      <c r="D46" s="5"/>
      <c r="E46" s="5"/>
      <c r="F46" s="85">
        <f>'Hardware Procurement'!G44</f>
        <v>1500</v>
      </c>
      <c r="G46" s="160">
        <f>'Hardware Procurement'!H44</f>
        <v>0</v>
      </c>
      <c r="H46" s="31">
        <f t="shared" si="3"/>
        <v>0</v>
      </c>
      <c r="I46" s="6"/>
    </row>
    <row r="47" spans="1:9" ht="12.75">
      <c r="A47" s="4"/>
      <c r="B47" s="5"/>
      <c r="C47" s="5" t="s">
        <v>117</v>
      </c>
      <c r="D47" s="5"/>
      <c r="E47" s="5"/>
      <c r="F47" s="85">
        <f>'Hardware Procurement'!G45</f>
        <v>1000</v>
      </c>
      <c r="G47" s="160">
        <f>'Hardware Procurement'!H45</f>
        <v>0</v>
      </c>
      <c r="H47" s="31">
        <f t="shared" si="3"/>
        <v>0</v>
      </c>
      <c r="I47" s="6"/>
    </row>
    <row r="48" spans="1:9" ht="12.75">
      <c r="A48" s="4"/>
      <c r="B48" s="5"/>
      <c r="C48" s="5" t="s">
        <v>118</v>
      </c>
      <c r="D48" s="5"/>
      <c r="E48" s="5"/>
      <c r="F48" s="85">
        <f>'Hardware Procurement'!G46</f>
        <v>500</v>
      </c>
      <c r="G48" s="160">
        <f>'Hardware Procurement'!H46</f>
        <v>0</v>
      </c>
      <c r="H48" s="31">
        <f t="shared" si="3"/>
        <v>0</v>
      </c>
      <c r="I48" s="6"/>
    </row>
    <row r="49" spans="1:9" ht="12.75">
      <c r="A49" s="4"/>
      <c r="B49" s="5"/>
      <c r="C49" s="5" t="s">
        <v>119</v>
      </c>
      <c r="D49" s="5"/>
      <c r="E49" s="5"/>
      <c r="F49" s="85">
        <f>'Hardware Procurement'!G47</f>
        <v>480</v>
      </c>
      <c r="G49" s="160">
        <f>'Hardware Procurement'!H47</f>
        <v>0</v>
      </c>
      <c r="H49" s="31">
        <f t="shared" si="3"/>
        <v>0</v>
      </c>
      <c r="I49" s="6"/>
    </row>
    <row r="50" spans="1:9" ht="13.5" thickBot="1">
      <c r="A50" s="52"/>
      <c r="B50" s="22"/>
      <c r="C50" s="22" t="s">
        <v>120</v>
      </c>
      <c r="D50" s="22"/>
      <c r="E50" s="22"/>
      <c r="F50" s="91">
        <f>'Hardware Procurement'!G48</f>
        <v>0</v>
      </c>
      <c r="G50" s="161">
        <f>'Hardware Procurement'!H48</f>
        <v>0</v>
      </c>
      <c r="H50" s="35">
        <f t="shared" si="3"/>
        <v>0</v>
      </c>
      <c r="I50" s="6"/>
    </row>
    <row r="51" spans="1:9" ht="13.5" thickTop="1">
      <c r="A51" s="4"/>
      <c r="B51" s="5" t="s">
        <v>269</v>
      </c>
      <c r="C51" s="5"/>
      <c r="D51" s="5"/>
      <c r="E51" s="5"/>
      <c r="F51" s="31"/>
      <c r="G51" s="5" t="s">
        <v>1</v>
      </c>
      <c r="H51" s="31">
        <f>SUM(H43:H50)</f>
        <v>375000</v>
      </c>
      <c r="I51" s="6"/>
    </row>
    <row r="52" spans="1:9" ht="12.75">
      <c r="A52" s="4"/>
      <c r="B52" s="5"/>
      <c r="C52" s="5"/>
      <c r="D52" s="5"/>
      <c r="E52" s="5"/>
      <c r="F52" s="31"/>
      <c r="G52" s="5"/>
      <c r="H52" s="31"/>
      <c r="I52" s="6"/>
    </row>
    <row r="53" spans="1:9" ht="12.75">
      <c r="A53" s="4"/>
      <c r="B53" s="5"/>
      <c r="C53" s="5"/>
      <c r="D53" s="5"/>
      <c r="E53" s="5"/>
      <c r="F53" s="31"/>
      <c r="G53" s="5"/>
      <c r="H53" s="31"/>
      <c r="I53" s="6"/>
    </row>
    <row r="54" spans="1:9" ht="12.75">
      <c r="A54" s="4"/>
      <c r="B54" s="5"/>
      <c r="C54" s="5"/>
      <c r="D54" s="5"/>
      <c r="E54" s="5"/>
      <c r="F54" s="31"/>
      <c r="G54" s="5"/>
      <c r="H54" s="5"/>
      <c r="I54" s="6"/>
    </row>
    <row r="55" spans="1:9" ht="15.75">
      <c r="A55" s="14"/>
      <c r="B55" s="30" t="s">
        <v>370</v>
      </c>
      <c r="C55" s="5"/>
      <c r="D55" s="5"/>
      <c r="E55" s="5"/>
      <c r="F55" s="31"/>
      <c r="G55" s="5"/>
      <c r="H55" s="5"/>
      <c r="I55" s="6"/>
    </row>
    <row r="56" spans="1:9" ht="12.75">
      <c r="A56" s="4"/>
      <c r="B56" s="5"/>
      <c r="C56" s="5" t="s">
        <v>12</v>
      </c>
      <c r="D56" s="5"/>
      <c r="E56" s="5"/>
      <c r="F56" s="85">
        <f>'Hardware Procurement'!G51</f>
        <v>4000</v>
      </c>
      <c r="G56" s="160">
        <v>0</v>
      </c>
      <c r="H56" s="31">
        <f aca="true" t="shared" si="4" ref="H56:H65">F56*G56</f>
        <v>0</v>
      </c>
      <c r="I56" s="6"/>
    </row>
    <row r="57" spans="1:9" ht="12.75">
      <c r="A57" s="4"/>
      <c r="B57" s="5"/>
      <c r="C57" s="5" t="s">
        <v>102</v>
      </c>
      <c r="D57" s="5"/>
      <c r="E57" s="5"/>
      <c r="F57" s="85">
        <f>'Hardware Procurement'!G52</f>
        <v>1100</v>
      </c>
      <c r="G57" s="160">
        <v>0</v>
      </c>
      <c r="H57" s="31">
        <f t="shared" si="4"/>
        <v>0</v>
      </c>
      <c r="I57" s="6"/>
    </row>
    <row r="58" spans="1:9" ht="12.75">
      <c r="A58" s="4"/>
      <c r="B58" s="5"/>
      <c r="C58" s="5" t="s">
        <v>103</v>
      </c>
      <c r="D58" s="5"/>
      <c r="E58" s="5"/>
      <c r="F58" s="85">
        <f>'Hardware Procurement'!G53</f>
        <v>260</v>
      </c>
      <c r="G58" s="160">
        <f>'Hardware Procurement'!H53</f>
        <v>0</v>
      </c>
      <c r="H58" s="31">
        <f t="shared" si="4"/>
        <v>0</v>
      </c>
      <c r="I58" s="6"/>
    </row>
    <row r="59" spans="1:9" ht="12.75">
      <c r="A59" s="4"/>
      <c r="B59" s="5"/>
      <c r="C59" s="5" t="s">
        <v>104</v>
      </c>
      <c r="D59" s="5"/>
      <c r="E59" s="5"/>
      <c r="F59" s="85">
        <f>'Hardware Procurement'!G54</f>
        <v>800</v>
      </c>
      <c r="G59" s="160">
        <f>'Hardware Procurement'!H54</f>
        <v>0</v>
      </c>
      <c r="H59" s="31">
        <f t="shared" si="4"/>
        <v>0</v>
      </c>
      <c r="I59" s="6"/>
    </row>
    <row r="60" spans="1:9" ht="12.75">
      <c r="A60" s="4"/>
      <c r="B60" s="5"/>
      <c r="C60" s="5" t="s">
        <v>250</v>
      </c>
      <c r="D60" s="5"/>
      <c r="E60" s="5"/>
      <c r="F60" s="85">
        <f>'Hardware Procurement'!G55</f>
        <v>150</v>
      </c>
      <c r="G60" s="160">
        <f>'Hardware Procurement'!H55</f>
        <v>0</v>
      </c>
      <c r="H60" s="31">
        <f t="shared" si="4"/>
        <v>0</v>
      </c>
      <c r="I60" s="6"/>
    </row>
    <row r="61" spans="1:9" ht="12.75">
      <c r="A61" s="4"/>
      <c r="B61" s="5"/>
      <c r="C61" s="5" t="s">
        <v>105</v>
      </c>
      <c r="D61" s="5"/>
      <c r="E61" s="5"/>
      <c r="F61" s="85">
        <f>'Hardware Procurement'!G56</f>
        <v>1200</v>
      </c>
      <c r="G61" s="160">
        <f>'Hardware Procurement'!H56</f>
        <v>0</v>
      </c>
      <c r="H61" s="31">
        <f t="shared" si="4"/>
        <v>0</v>
      </c>
      <c r="I61" s="6"/>
    </row>
    <row r="62" spans="1:9" ht="12.75">
      <c r="A62" s="4"/>
      <c r="B62" s="5"/>
      <c r="C62" s="5" t="s">
        <v>251</v>
      </c>
      <c r="D62" s="5"/>
      <c r="E62" s="5"/>
      <c r="F62" s="85">
        <f>'Hardware Procurement'!G57</f>
        <v>5000</v>
      </c>
      <c r="G62" s="160">
        <f>'Hardware Procurement'!H57</f>
        <v>0</v>
      </c>
      <c r="H62" s="31">
        <f t="shared" si="4"/>
        <v>0</v>
      </c>
      <c r="I62" s="6"/>
    </row>
    <row r="63" spans="1:9" ht="12.75">
      <c r="A63" s="4"/>
      <c r="B63" s="5"/>
      <c r="C63" s="5" t="s">
        <v>252</v>
      </c>
      <c r="D63" s="5"/>
      <c r="E63" s="5"/>
      <c r="F63" s="85">
        <f>'Hardware Procurement'!G58</f>
        <v>900</v>
      </c>
      <c r="G63" s="160">
        <f>'Hardware Procurement'!H58</f>
        <v>0</v>
      </c>
      <c r="H63" s="31">
        <f t="shared" si="4"/>
        <v>0</v>
      </c>
      <c r="I63" s="6"/>
    </row>
    <row r="64" spans="1:9" ht="12.75">
      <c r="A64" s="4"/>
      <c r="B64" s="5"/>
      <c r="C64" s="5" t="s">
        <v>253</v>
      </c>
      <c r="D64" s="5"/>
      <c r="E64" s="5"/>
      <c r="F64" s="85">
        <f>'Hardware Procurement'!G59</f>
        <v>550</v>
      </c>
      <c r="G64" s="160">
        <f>'Hardware Procurement'!H59</f>
        <v>0</v>
      </c>
      <c r="H64" s="31">
        <f t="shared" si="4"/>
        <v>0</v>
      </c>
      <c r="I64" s="6"/>
    </row>
    <row r="65" spans="1:9" ht="13.5" thickBot="1">
      <c r="A65" s="52"/>
      <c r="B65" s="22"/>
      <c r="C65" s="22" t="s">
        <v>25</v>
      </c>
      <c r="D65" s="22"/>
      <c r="E65" s="22"/>
      <c r="F65" s="91">
        <f>'Hardware Procurement'!G60</f>
        <v>0</v>
      </c>
      <c r="G65" s="161">
        <f>'Hardware Procurement'!H60</f>
        <v>0</v>
      </c>
      <c r="H65" s="35">
        <f t="shared" si="4"/>
        <v>0</v>
      </c>
      <c r="I65" s="6"/>
    </row>
    <row r="66" spans="1:9" ht="13.5" thickTop="1">
      <c r="A66" s="4"/>
      <c r="B66" s="5" t="s">
        <v>269</v>
      </c>
      <c r="C66" s="5"/>
      <c r="D66" s="5"/>
      <c r="E66" s="5"/>
      <c r="F66" s="31"/>
      <c r="G66" s="162">
        <f>SUM(H56:H65)</f>
        <v>0</v>
      </c>
      <c r="H66" s="31">
        <f>G66+'Calculation Sheet'!B5</f>
        <v>4000</v>
      </c>
      <c r="I66" s="6"/>
    </row>
    <row r="67" spans="1:9" ht="12.75">
      <c r="A67" s="4"/>
      <c r="B67" s="5"/>
      <c r="C67" s="5"/>
      <c r="D67" s="5"/>
      <c r="E67" s="5"/>
      <c r="F67" s="31"/>
      <c r="G67" s="5"/>
      <c r="H67" s="31"/>
      <c r="I67" s="6"/>
    </row>
    <row r="68" spans="1:9" ht="15.75">
      <c r="A68" s="14"/>
      <c r="B68" s="30" t="s">
        <v>371</v>
      </c>
      <c r="C68" s="5"/>
      <c r="D68" s="5"/>
      <c r="E68" s="5"/>
      <c r="F68" s="31"/>
      <c r="G68" s="5"/>
      <c r="H68" s="5"/>
      <c r="I68" s="6"/>
    </row>
    <row r="69" spans="1:9" ht="12.75">
      <c r="A69" s="4"/>
      <c r="B69" s="5"/>
      <c r="C69" s="5" t="s">
        <v>256</v>
      </c>
      <c r="D69" s="5"/>
      <c r="E69" s="5"/>
      <c r="F69" s="85">
        <f>'Hardware Procurement'!G63</f>
        <v>0</v>
      </c>
      <c r="G69" s="160">
        <f>'Hardware Procurement'!H63</f>
        <v>0</v>
      </c>
      <c r="H69" s="31">
        <f aca="true" t="shared" si="5" ref="H69:H78">F69*G69</f>
        <v>0</v>
      </c>
      <c r="I69" s="6"/>
    </row>
    <row r="70" spans="1:9" ht="12.75">
      <c r="A70" s="4"/>
      <c r="B70" s="5"/>
      <c r="C70" s="5" t="s">
        <v>102</v>
      </c>
      <c r="D70" s="5"/>
      <c r="E70" s="5"/>
      <c r="F70" s="85">
        <f>'Hardware Procurement'!G64</f>
        <v>0</v>
      </c>
      <c r="G70" s="160">
        <f>'Hardware Procurement'!H64</f>
        <v>0</v>
      </c>
      <c r="H70" s="31">
        <f t="shared" si="5"/>
        <v>0</v>
      </c>
      <c r="I70" s="6"/>
    </row>
    <row r="71" spans="1:9" ht="12.75">
      <c r="A71" s="4"/>
      <c r="B71" s="5"/>
      <c r="C71" s="5" t="s">
        <v>103</v>
      </c>
      <c r="D71" s="5"/>
      <c r="E71" s="5"/>
      <c r="F71" s="85">
        <f>'Hardware Procurement'!G65</f>
        <v>0</v>
      </c>
      <c r="G71" s="160">
        <f>'Hardware Procurement'!H65</f>
        <v>0</v>
      </c>
      <c r="H71" s="31">
        <f t="shared" si="5"/>
        <v>0</v>
      </c>
      <c r="I71" s="6"/>
    </row>
    <row r="72" spans="1:9" ht="12.75">
      <c r="A72" s="4"/>
      <c r="B72" s="5"/>
      <c r="C72" s="5" t="s">
        <v>104</v>
      </c>
      <c r="D72" s="5"/>
      <c r="E72" s="5"/>
      <c r="F72" s="85">
        <f>'Hardware Procurement'!G66</f>
        <v>0</v>
      </c>
      <c r="G72" s="160">
        <f>'Hardware Procurement'!H66</f>
        <v>0</v>
      </c>
      <c r="H72" s="31">
        <f t="shared" si="5"/>
        <v>0</v>
      </c>
      <c r="I72" s="6"/>
    </row>
    <row r="73" spans="1:9" ht="12.75">
      <c r="A73" s="4"/>
      <c r="B73" s="5"/>
      <c r="C73" s="5" t="s">
        <v>250</v>
      </c>
      <c r="D73" s="5"/>
      <c r="E73" s="5"/>
      <c r="F73" s="85">
        <f>'Hardware Procurement'!G67</f>
        <v>0</v>
      </c>
      <c r="G73" s="160">
        <f>'Hardware Procurement'!H67</f>
        <v>0</v>
      </c>
      <c r="H73" s="31">
        <f t="shared" si="5"/>
        <v>0</v>
      </c>
      <c r="I73" s="6"/>
    </row>
    <row r="74" spans="1:9" ht="12.75">
      <c r="A74" s="4"/>
      <c r="B74" s="5"/>
      <c r="C74" s="5" t="s">
        <v>254</v>
      </c>
      <c r="D74" s="5"/>
      <c r="E74" s="5"/>
      <c r="F74" s="85">
        <f>'Hardware Procurement'!G68</f>
        <v>0</v>
      </c>
      <c r="G74" s="160">
        <f>'Hardware Procurement'!H68</f>
        <v>0</v>
      </c>
      <c r="H74" s="31">
        <f t="shared" si="5"/>
        <v>0</v>
      </c>
      <c r="I74" s="6"/>
    </row>
    <row r="75" spans="1:9" ht="12.75">
      <c r="A75" s="4"/>
      <c r="B75" s="5"/>
      <c r="C75" s="5" t="s">
        <v>251</v>
      </c>
      <c r="D75" s="5"/>
      <c r="E75" s="5"/>
      <c r="F75" s="85">
        <f>'Hardware Procurement'!G69</f>
        <v>0</v>
      </c>
      <c r="G75" s="160">
        <f>'Hardware Procurement'!H69</f>
        <v>0</v>
      </c>
      <c r="H75" s="31">
        <f t="shared" si="5"/>
        <v>0</v>
      </c>
      <c r="I75" s="6"/>
    </row>
    <row r="76" spans="1:9" ht="12.75">
      <c r="A76" s="4"/>
      <c r="B76" s="5"/>
      <c r="C76" s="5" t="s">
        <v>255</v>
      </c>
      <c r="D76" s="5"/>
      <c r="E76" s="5"/>
      <c r="F76" s="85">
        <f>'Hardware Procurement'!G70</f>
        <v>0</v>
      </c>
      <c r="G76" s="160">
        <f>'Hardware Procurement'!H70</f>
        <v>0</v>
      </c>
      <c r="H76" s="31">
        <f t="shared" si="5"/>
        <v>0</v>
      </c>
      <c r="I76" s="6"/>
    </row>
    <row r="77" spans="1:9" ht="12.75">
      <c r="A77" s="4"/>
      <c r="B77" s="5"/>
      <c r="C77" s="5" t="s">
        <v>106</v>
      </c>
      <c r="D77" s="5"/>
      <c r="E77" s="5"/>
      <c r="F77" s="85">
        <f>'Hardware Procurement'!G71</f>
        <v>0</v>
      </c>
      <c r="G77" s="160">
        <f>'Hardware Procurement'!H71</f>
        <v>0</v>
      </c>
      <c r="H77" s="31">
        <f t="shared" si="5"/>
        <v>0</v>
      </c>
      <c r="I77" s="6"/>
    </row>
    <row r="78" spans="1:9" ht="13.5" thickBot="1">
      <c r="A78" s="52"/>
      <c r="B78" s="22"/>
      <c r="C78" s="22" t="s">
        <v>25</v>
      </c>
      <c r="D78" s="22"/>
      <c r="E78" s="22"/>
      <c r="F78" s="91">
        <f>'Hardware Procurement'!G72</f>
        <v>0</v>
      </c>
      <c r="G78" s="161">
        <f>'Hardware Procurement'!H72</f>
        <v>0</v>
      </c>
      <c r="H78" s="35">
        <f t="shared" si="5"/>
        <v>0</v>
      </c>
      <c r="I78" s="6"/>
    </row>
    <row r="79" spans="1:9" ht="13.5" thickTop="1">
      <c r="A79" s="4"/>
      <c r="B79" s="5" t="s">
        <v>269</v>
      </c>
      <c r="C79" s="5"/>
      <c r="D79" s="5"/>
      <c r="E79" s="5"/>
      <c r="F79" s="31"/>
      <c r="G79" s="162">
        <f>SUM(H69:H78)</f>
        <v>0</v>
      </c>
      <c r="H79" s="31">
        <f>G79+'Calculation Sheet'!B3</f>
        <v>62500</v>
      </c>
      <c r="I79" s="6"/>
    </row>
    <row r="80" spans="1:9" ht="13.5" thickBot="1">
      <c r="A80" s="4"/>
      <c r="B80" s="5"/>
      <c r="C80" s="5"/>
      <c r="D80" s="5"/>
      <c r="E80" s="5"/>
      <c r="F80" s="31"/>
      <c r="G80" s="5"/>
      <c r="H80" s="5"/>
      <c r="I80" s="6"/>
    </row>
    <row r="81" spans="1:9" ht="13.5" thickBot="1">
      <c r="A81" s="4"/>
      <c r="B81" s="61" t="s">
        <v>121</v>
      </c>
      <c r="C81" s="62"/>
      <c r="D81" s="62"/>
      <c r="E81" s="62"/>
      <c r="F81" s="63"/>
      <c r="G81" s="62"/>
      <c r="H81" s="64">
        <f>SUM(H79,H66,H51,H40,H29,H16)</f>
        <v>1727380</v>
      </c>
      <c r="I81" s="6"/>
    </row>
    <row r="82" spans="1:9" ht="12.75">
      <c r="A82" s="4"/>
      <c r="B82" s="5"/>
      <c r="C82" s="5"/>
      <c r="D82" s="5"/>
      <c r="E82" s="5"/>
      <c r="F82" s="5"/>
      <c r="G82" s="5"/>
      <c r="H82" s="5"/>
      <c r="I82" s="6"/>
    </row>
    <row r="83" spans="1:9" ht="13.5" thickBot="1">
      <c r="A83" s="7"/>
      <c r="B83" s="8"/>
      <c r="C83" s="8"/>
      <c r="D83" s="8"/>
      <c r="E83" s="8"/>
      <c r="F83" s="8"/>
      <c r="G83" s="8"/>
      <c r="H83" s="8"/>
      <c r="I83" s="9"/>
    </row>
    <row r="84" ht="13.5" thickTop="1"/>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60">
      <c r="A93" s="134" t="s">
        <v>249</v>
      </c>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60">
      <c r="A101" s="134"/>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12.75">
      <c r="A103" s="133"/>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row r="105" spans="1:15" ht="12.75">
      <c r="A105" s="133"/>
      <c r="B105" s="133"/>
      <c r="C105" s="133"/>
      <c r="D105" s="133"/>
      <c r="E105" s="133"/>
      <c r="F105" s="133"/>
      <c r="G105" s="133"/>
      <c r="H105" s="133"/>
      <c r="I105" s="133"/>
      <c r="J105" s="133"/>
      <c r="K105" s="133"/>
      <c r="L105" s="133"/>
      <c r="M105" s="133"/>
      <c r="N105" s="133"/>
      <c r="O105" s="133"/>
    </row>
    <row r="106" spans="1:15" ht="12.75">
      <c r="A106" s="133"/>
      <c r="B106" s="133"/>
      <c r="C106" s="133"/>
      <c r="D106" s="133"/>
      <c r="E106" s="133"/>
      <c r="F106" s="133"/>
      <c r="G106" s="133"/>
      <c r="H106" s="133"/>
      <c r="I106" s="133"/>
      <c r="J106" s="133"/>
      <c r="K106" s="133"/>
      <c r="L106" s="133"/>
      <c r="M106" s="133"/>
      <c r="N106" s="133"/>
      <c r="O106" s="133"/>
    </row>
    <row r="107" spans="1:15" ht="12.75">
      <c r="A107" s="133"/>
      <c r="B107" s="133"/>
      <c r="C107" s="133"/>
      <c r="D107" s="133"/>
      <c r="E107" s="133"/>
      <c r="F107" s="133"/>
      <c r="G107" s="133"/>
      <c r="H107" s="133"/>
      <c r="I107" s="133"/>
      <c r="J107" s="133"/>
      <c r="K107" s="133"/>
      <c r="L107" s="133"/>
      <c r="M107" s="133"/>
      <c r="N107" s="133"/>
      <c r="O107" s="133"/>
    </row>
    <row r="108" spans="1:15" ht="12.75">
      <c r="A108" s="133"/>
      <c r="B108" s="133"/>
      <c r="C108" s="133"/>
      <c r="D108" s="133"/>
      <c r="E108" s="133"/>
      <c r="F108" s="133"/>
      <c r="G108" s="133"/>
      <c r="H108" s="133"/>
      <c r="I108" s="133"/>
      <c r="J108" s="133"/>
      <c r="K108" s="133"/>
      <c r="L108" s="133"/>
      <c r="M108" s="133"/>
      <c r="N108" s="133"/>
      <c r="O108" s="133"/>
    </row>
    <row r="109" spans="1:15" ht="12.75">
      <c r="A109" s="133"/>
      <c r="B109" s="133"/>
      <c r="C109" s="133"/>
      <c r="D109" s="133"/>
      <c r="E109" s="133"/>
      <c r="F109" s="133"/>
      <c r="G109" s="133"/>
      <c r="H109" s="133"/>
      <c r="I109" s="133"/>
      <c r="J109" s="133"/>
      <c r="K109" s="133"/>
      <c r="L109" s="133"/>
      <c r="M109" s="133"/>
      <c r="N109" s="133"/>
      <c r="O109" s="133"/>
    </row>
    <row r="110" spans="1:15" ht="12.75">
      <c r="A110" s="133"/>
      <c r="B110" s="133"/>
      <c r="C110" s="133"/>
      <c r="D110" s="133"/>
      <c r="E110" s="133"/>
      <c r="F110" s="133"/>
      <c r="G110" s="133"/>
      <c r="H110" s="133"/>
      <c r="I110" s="133"/>
      <c r="J110" s="133"/>
      <c r="K110" s="133"/>
      <c r="L110" s="133"/>
      <c r="M110" s="133"/>
      <c r="N110" s="133"/>
      <c r="O110" s="133"/>
    </row>
    <row r="111" spans="1:15" ht="12.75">
      <c r="A111" s="133"/>
      <c r="B111" s="133"/>
      <c r="C111" s="133"/>
      <c r="D111" s="133"/>
      <c r="E111" s="133"/>
      <c r="F111" s="133"/>
      <c r="G111" s="133"/>
      <c r="H111" s="133"/>
      <c r="I111" s="133"/>
      <c r="J111" s="133"/>
      <c r="K111" s="133"/>
      <c r="L111" s="133"/>
      <c r="M111" s="133"/>
      <c r="N111" s="133"/>
      <c r="O111" s="133"/>
    </row>
    <row r="112" spans="1:15" ht="60">
      <c r="A112" s="133"/>
      <c r="B112" s="133"/>
      <c r="C112" s="133"/>
      <c r="D112" s="134"/>
      <c r="E112" s="133"/>
      <c r="F112" s="133"/>
      <c r="G112" s="133"/>
      <c r="H112" s="133"/>
      <c r="I112" s="133"/>
      <c r="J112" s="133"/>
      <c r="K112" s="133"/>
      <c r="L112" s="133"/>
      <c r="M112" s="133"/>
      <c r="N112" s="133"/>
      <c r="O112" s="133"/>
    </row>
    <row r="113" spans="1:15" ht="12.75">
      <c r="A113" s="133"/>
      <c r="B113" s="133"/>
      <c r="C113" s="133"/>
      <c r="D113" s="133"/>
      <c r="E113" s="133"/>
      <c r="F113" s="133"/>
      <c r="G113" s="133"/>
      <c r="H113" s="133"/>
      <c r="I113" s="133"/>
      <c r="J113" s="133"/>
      <c r="K113" s="133"/>
      <c r="L113" s="133"/>
      <c r="M113" s="133"/>
      <c r="N113" s="133"/>
      <c r="O113" s="133"/>
    </row>
    <row r="114" spans="1:15" ht="12.75">
      <c r="A114" s="133"/>
      <c r="B114" s="133"/>
      <c r="C114" s="133"/>
      <c r="D114" s="133"/>
      <c r="E114" s="133"/>
      <c r="F114" s="133"/>
      <c r="G114" s="133"/>
      <c r="H114" s="133"/>
      <c r="I114" s="133"/>
      <c r="J114" s="133"/>
      <c r="K114" s="133"/>
      <c r="L114" s="133"/>
      <c r="M114" s="133"/>
      <c r="N114" s="133"/>
      <c r="O114" s="133"/>
    </row>
    <row r="115" spans="1:15" ht="12.75">
      <c r="A115" s="133"/>
      <c r="B115" s="133"/>
      <c r="C115" s="133"/>
      <c r="D115" s="133"/>
      <c r="E115" s="133"/>
      <c r="F115" s="133"/>
      <c r="G115" s="133"/>
      <c r="H115" s="133"/>
      <c r="I115" s="133"/>
      <c r="J115" s="133"/>
      <c r="K115" s="133"/>
      <c r="L115" s="133"/>
      <c r="M115" s="133"/>
      <c r="N115" s="133"/>
      <c r="O115" s="133"/>
    </row>
    <row r="116" spans="1:15" ht="12.75">
      <c r="A116" s="133"/>
      <c r="B116" s="133"/>
      <c r="C116" s="133"/>
      <c r="D116" s="133"/>
      <c r="E116" s="133"/>
      <c r="F116" s="133"/>
      <c r="G116" s="133"/>
      <c r="H116" s="133"/>
      <c r="I116" s="133"/>
      <c r="J116" s="133"/>
      <c r="K116" s="133"/>
      <c r="L116" s="133"/>
      <c r="M116" s="133"/>
      <c r="N116" s="133"/>
      <c r="O116" s="133"/>
    </row>
    <row r="117" spans="1:15" ht="12.75">
      <c r="A117" s="133"/>
      <c r="B117" s="133"/>
      <c r="C117" s="133"/>
      <c r="D117" s="133"/>
      <c r="E117" s="133"/>
      <c r="F117" s="133"/>
      <c r="G117" s="133"/>
      <c r="H117" s="133"/>
      <c r="I117" s="133"/>
      <c r="J117" s="133"/>
      <c r="K117" s="133"/>
      <c r="L117" s="133"/>
      <c r="M117" s="133"/>
      <c r="N117" s="133"/>
      <c r="O117" s="133"/>
    </row>
    <row r="118" spans="1:15" ht="12.75">
      <c r="A118" s="133"/>
      <c r="B118" s="133"/>
      <c r="C118" s="133"/>
      <c r="D118" s="133"/>
      <c r="E118" s="133"/>
      <c r="F118" s="133"/>
      <c r="G118" s="133"/>
      <c r="H118" s="133"/>
      <c r="I118" s="133"/>
      <c r="J118" s="133"/>
      <c r="K118" s="133"/>
      <c r="L118" s="133"/>
      <c r="M118" s="133"/>
      <c r="N118" s="133"/>
      <c r="O118" s="133"/>
    </row>
    <row r="119" spans="1:15" ht="12.75">
      <c r="A119" s="133"/>
      <c r="B119" s="133"/>
      <c r="C119" s="133"/>
      <c r="D119" s="133"/>
      <c r="E119" s="133"/>
      <c r="F119" s="133"/>
      <c r="G119" s="133"/>
      <c r="H119" s="133"/>
      <c r="I119" s="133"/>
      <c r="J119" s="133"/>
      <c r="K119" s="133"/>
      <c r="L119" s="133"/>
      <c r="M119" s="133"/>
      <c r="N119" s="133"/>
      <c r="O119" s="133"/>
    </row>
    <row r="120" spans="1:15" ht="12.75">
      <c r="A120" s="133"/>
      <c r="B120" s="133"/>
      <c r="C120" s="133"/>
      <c r="D120" s="133"/>
      <c r="E120" s="133"/>
      <c r="F120" s="133"/>
      <c r="G120" s="133"/>
      <c r="H120" s="133"/>
      <c r="I120" s="133"/>
      <c r="J120" s="133"/>
      <c r="K120" s="133"/>
      <c r="L120" s="133"/>
      <c r="M120" s="133"/>
      <c r="N120" s="133"/>
      <c r="O120" s="133"/>
    </row>
    <row r="121" spans="1:15" ht="12.75">
      <c r="A121" s="133"/>
      <c r="B121" s="133"/>
      <c r="C121" s="133"/>
      <c r="D121" s="133"/>
      <c r="E121" s="133"/>
      <c r="F121" s="133"/>
      <c r="G121" s="133"/>
      <c r="H121" s="133"/>
      <c r="I121" s="133"/>
      <c r="J121" s="133"/>
      <c r="K121" s="133"/>
      <c r="L121" s="133"/>
      <c r="M121" s="133"/>
      <c r="N121" s="133"/>
      <c r="O121" s="133"/>
    </row>
    <row r="122" spans="1:15" ht="12.75">
      <c r="A122" s="133"/>
      <c r="B122" s="133"/>
      <c r="C122" s="133"/>
      <c r="D122" s="133"/>
      <c r="E122" s="133"/>
      <c r="F122" s="133"/>
      <c r="G122" s="133"/>
      <c r="H122" s="133"/>
      <c r="I122" s="133"/>
      <c r="J122" s="133"/>
      <c r="K122" s="133"/>
      <c r="L122" s="133"/>
      <c r="M122" s="133"/>
      <c r="N122" s="133"/>
      <c r="O122" s="133"/>
    </row>
    <row r="123" spans="1:15" ht="12.75">
      <c r="A123" s="133"/>
      <c r="B123" s="133"/>
      <c r="C123" s="133"/>
      <c r="D123" s="133"/>
      <c r="E123" s="133"/>
      <c r="F123" s="133"/>
      <c r="G123" s="133"/>
      <c r="H123" s="133"/>
      <c r="I123" s="133"/>
      <c r="J123" s="133"/>
      <c r="K123" s="133"/>
      <c r="L123" s="133"/>
      <c r="M123" s="133"/>
      <c r="N123" s="133"/>
      <c r="O123" s="133"/>
    </row>
    <row r="124" spans="1:15" ht="12.75">
      <c r="A124" s="133"/>
      <c r="B124" s="133"/>
      <c r="C124" s="133"/>
      <c r="D124" s="133"/>
      <c r="E124" s="133"/>
      <c r="F124" s="133"/>
      <c r="G124" s="133"/>
      <c r="H124" s="133"/>
      <c r="I124" s="133"/>
      <c r="J124" s="133"/>
      <c r="K124" s="133"/>
      <c r="L124" s="133"/>
      <c r="M124" s="133"/>
      <c r="N124" s="133"/>
      <c r="O124" s="133"/>
    </row>
    <row r="125" spans="1:15" ht="12.75">
      <c r="A125" s="133"/>
      <c r="B125" s="133"/>
      <c r="C125" s="133"/>
      <c r="D125" s="133"/>
      <c r="E125" s="133"/>
      <c r="F125" s="133"/>
      <c r="G125" s="133"/>
      <c r="H125" s="133"/>
      <c r="I125" s="133"/>
      <c r="J125" s="133"/>
      <c r="K125" s="133"/>
      <c r="L125" s="133"/>
      <c r="M125" s="133"/>
      <c r="N125" s="133"/>
      <c r="O125" s="133"/>
    </row>
    <row r="126" spans="1:15" ht="12.75">
      <c r="A126" s="133"/>
      <c r="B126" s="133"/>
      <c r="C126" s="133"/>
      <c r="D126" s="133"/>
      <c r="E126" s="133"/>
      <c r="F126" s="133"/>
      <c r="G126" s="133"/>
      <c r="H126" s="133"/>
      <c r="I126" s="133"/>
      <c r="J126" s="133"/>
      <c r="K126" s="133"/>
      <c r="L126" s="133"/>
      <c r="M126" s="133"/>
      <c r="N126" s="133"/>
      <c r="O126" s="133"/>
    </row>
    <row r="127" spans="1:15" ht="12.75">
      <c r="A127" s="133"/>
      <c r="B127" s="133"/>
      <c r="C127" s="133"/>
      <c r="D127" s="133"/>
      <c r="E127" s="133"/>
      <c r="F127" s="133"/>
      <c r="G127" s="133"/>
      <c r="H127" s="133"/>
      <c r="I127" s="133"/>
      <c r="J127" s="133"/>
      <c r="K127" s="133"/>
      <c r="L127" s="133"/>
      <c r="M127" s="133"/>
      <c r="N127" s="133"/>
      <c r="O127" s="133"/>
    </row>
    <row r="128" spans="1:15" ht="12.75">
      <c r="A128" s="133"/>
      <c r="B128" s="133"/>
      <c r="C128" s="133"/>
      <c r="D128" s="133"/>
      <c r="E128" s="133"/>
      <c r="F128" s="133"/>
      <c r="G128" s="133"/>
      <c r="H128" s="133"/>
      <c r="I128" s="133"/>
      <c r="J128" s="133"/>
      <c r="K128" s="133"/>
      <c r="L128" s="133"/>
      <c r="M128" s="133"/>
      <c r="N128" s="133"/>
      <c r="O128" s="133"/>
    </row>
    <row r="129" spans="1:15" ht="12.75">
      <c r="A129" s="133"/>
      <c r="B129" s="133"/>
      <c r="C129" s="133"/>
      <c r="D129" s="133"/>
      <c r="E129" s="133"/>
      <c r="F129" s="133"/>
      <c r="G129" s="133"/>
      <c r="H129" s="133"/>
      <c r="I129" s="133"/>
      <c r="J129" s="133"/>
      <c r="K129" s="133"/>
      <c r="L129" s="133"/>
      <c r="M129" s="133"/>
      <c r="N129" s="133"/>
      <c r="O129" s="133"/>
    </row>
  </sheetData>
  <sheetProtection password="D023" sheet="1" objects="1" scenarios="1"/>
  <printOptions/>
  <pageMargins left="0.75" right="0.75" top="1" bottom="1" header="0.5" footer="0.5"/>
  <pageSetup fitToHeight="1" fitToWidth="1" horizontalDpi="600" verticalDpi="600" orientation="portrait" scale="57" r:id="rId1"/>
  <headerFooter alignWithMargins="0">
    <oddHeader>&amp;CTotal Cost of Application Ownership (TCA) Calculator</oddHeader>
    <oddFooter>&amp;LThe Tolly Group TCA Calculator&amp;R© The Tolly Group, 1999</oddFooter>
  </headerFooter>
  <rowBreaks count="1" manualBreakCount="1">
    <brk id="53" max="8" man="1"/>
  </rowBreaks>
</worksheet>
</file>

<file path=xl/worksheets/sheet25.xml><?xml version="1.0" encoding="utf-8"?>
<worksheet xmlns="http://schemas.openxmlformats.org/spreadsheetml/2006/main" xmlns:r="http://schemas.openxmlformats.org/officeDocument/2006/relationships">
  <sheetPr codeName="Sheet13">
    <pageSetUpPr fitToPage="1"/>
  </sheetPr>
  <dimension ref="A1:O94"/>
  <sheetViews>
    <sheetView workbookViewId="0" topLeftCell="A55">
      <selection activeCell="G44" sqref="G44"/>
    </sheetView>
  </sheetViews>
  <sheetFormatPr defaultColWidth="9.140625" defaultRowHeight="12.75"/>
  <cols>
    <col min="2" max="2" width="11.421875" style="0" customWidth="1"/>
    <col min="3" max="3" width="17.8515625" style="0" customWidth="1"/>
    <col min="4" max="4" width="9.28125" style="0" customWidth="1"/>
    <col min="5" max="5" width="16.140625" style="0" customWidth="1"/>
    <col min="6" max="6" width="13.7109375" style="0" customWidth="1"/>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376</v>
      </c>
      <c r="C3" s="5"/>
      <c r="D3" s="5"/>
      <c r="E3" s="5"/>
      <c r="F3" s="5"/>
      <c r="G3" s="5"/>
      <c r="H3" s="6"/>
    </row>
    <row r="4" spans="1:8" ht="12.75">
      <c r="A4" s="4"/>
      <c r="B4" s="5"/>
      <c r="C4" s="5"/>
      <c r="D4" s="5"/>
      <c r="E4" s="5"/>
      <c r="F4" s="5"/>
      <c r="G4" s="5"/>
      <c r="H4" s="6"/>
    </row>
    <row r="5" spans="1:8" ht="12.75">
      <c r="A5" s="4"/>
      <c r="B5" s="15" t="s">
        <v>377</v>
      </c>
      <c r="C5" s="5"/>
      <c r="D5" s="5"/>
      <c r="E5" s="5" t="s">
        <v>268</v>
      </c>
      <c r="F5" s="5" t="s">
        <v>101</v>
      </c>
      <c r="G5" s="101" t="s">
        <v>514</v>
      </c>
      <c r="H5" s="6"/>
    </row>
    <row r="6" spans="1:8" ht="12.75">
      <c r="A6" s="4"/>
      <c r="B6" s="5"/>
      <c r="C6" s="5" t="s">
        <v>225</v>
      </c>
      <c r="D6" s="5"/>
      <c r="E6" s="189">
        <f>'Detailed Data'!H26</f>
        <v>60000</v>
      </c>
      <c r="F6" s="111">
        <f>'Front End'!G43</f>
        <v>3</v>
      </c>
      <c r="G6" s="95">
        <v>180000</v>
      </c>
      <c r="H6" s="6"/>
    </row>
    <row r="7" spans="1:8" ht="13.5" thickBot="1">
      <c r="A7" s="4"/>
      <c r="B7" s="22"/>
      <c r="C7" s="22" t="s">
        <v>226</v>
      </c>
      <c r="D7" s="22"/>
      <c r="E7" s="188">
        <f>'Detailed Data'!H27</f>
        <v>30000</v>
      </c>
      <c r="F7" s="98">
        <f>'Front End'!G45</f>
        <v>6</v>
      </c>
      <c r="G7" s="151">
        <v>180000</v>
      </c>
      <c r="H7" s="6"/>
    </row>
    <row r="8" spans="1:8" ht="13.5" thickTop="1">
      <c r="A8" s="4"/>
      <c r="B8" s="5" t="s">
        <v>269</v>
      </c>
      <c r="C8" s="5"/>
      <c r="D8" s="5"/>
      <c r="E8" s="5"/>
      <c r="F8" s="5"/>
      <c r="G8" s="31">
        <f>SUM(G6:G7)</f>
        <v>360000</v>
      </c>
      <c r="H8" s="6"/>
    </row>
    <row r="9" spans="1:8" ht="12.75">
      <c r="A9" s="4"/>
      <c r="B9" s="5"/>
      <c r="C9" s="5"/>
      <c r="D9" s="5"/>
      <c r="E9" s="5"/>
      <c r="F9" s="5"/>
      <c r="G9" s="31"/>
      <c r="H9" s="6"/>
    </row>
    <row r="10" spans="1:8" ht="12.75">
      <c r="A10" s="4"/>
      <c r="B10" s="15" t="s">
        <v>378</v>
      </c>
      <c r="C10" s="5"/>
      <c r="D10" s="5"/>
      <c r="E10" s="5" t="s">
        <v>160</v>
      </c>
      <c r="F10" s="5" t="s">
        <v>161</v>
      </c>
      <c r="G10" s="31"/>
      <c r="H10" s="6"/>
    </row>
    <row r="11" spans="1:8" ht="12.75">
      <c r="A11" s="4"/>
      <c r="B11" s="5"/>
      <c r="C11" s="5" t="s">
        <v>122</v>
      </c>
      <c r="D11" s="5"/>
      <c r="E11" s="189">
        <f>'Detailed Data'!G29</f>
        <v>2000</v>
      </c>
      <c r="F11" s="189">
        <f>'Detailed Data'!H29</f>
        <v>250</v>
      </c>
      <c r="G11" s="31">
        <f>SUM(F11*12+E11)</f>
        <v>5000</v>
      </c>
      <c r="H11" s="6"/>
    </row>
    <row r="12" spans="1:8" ht="12.75">
      <c r="A12" s="4"/>
      <c r="B12" s="5"/>
      <c r="C12" s="5" t="s">
        <v>257</v>
      </c>
      <c r="D12" s="5"/>
      <c r="E12" s="189">
        <f>'Detailed Data'!G30</f>
        <v>1500</v>
      </c>
      <c r="F12" s="189">
        <f>'Detailed Data'!H30</f>
        <v>300</v>
      </c>
      <c r="G12" s="31">
        <f>SUM(F12*12+E12)</f>
        <v>5100</v>
      </c>
      <c r="H12" s="6"/>
    </row>
    <row r="13" spans="1:8" ht="12.75">
      <c r="A13" s="4"/>
      <c r="B13" s="5"/>
      <c r="C13" s="5" t="s">
        <v>123</v>
      </c>
      <c r="D13" s="5"/>
      <c r="E13" s="189">
        <f>'Detailed Data'!G31</f>
        <v>800</v>
      </c>
      <c r="F13" s="189">
        <f>'Detailed Data'!H31</f>
        <v>500</v>
      </c>
      <c r="G13" s="31">
        <f>SUM(F13*12+E13)</f>
        <v>6800</v>
      </c>
      <c r="H13" s="6"/>
    </row>
    <row r="14" spans="1:8" ht="12.75">
      <c r="A14" s="4"/>
      <c r="B14" s="5"/>
      <c r="C14" s="5" t="s">
        <v>124</v>
      </c>
      <c r="D14" s="5"/>
      <c r="E14" s="189">
        <f>'Detailed Data'!G32</f>
        <v>0</v>
      </c>
      <c r="F14" s="189">
        <f>'Detailed Data'!H32</f>
        <v>200</v>
      </c>
      <c r="G14" s="31">
        <f>SUM(F14*12+E14)</f>
        <v>2400</v>
      </c>
      <c r="H14" s="6"/>
    </row>
    <row r="15" spans="1:8" ht="13.5" thickBot="1">
      <c r="A15" s="4"/>
      <c r="B15" s="22"/>
      <c r="C15" s="22" t="s">
        <v>125</v>
      </c>
      <c r="D15" s="22"/>
      <c r="E15" s="188">
        <f>'Detailed Data'!G33</f>
        <v>0</v>
      </c>
      <c r="F15" s="188">
        <f>'Detailed Data'!H33</f>
        <v>0</v>
      </c>
      <c r="G15" s="35">
        <f>SUM(F15*12+E15)</f>
        <v>0</v>
      </c>
      <c r="H15" s="6"/>
    </row>
    <row r="16" spans="1:8" ht="13.5" thickTop="1">
      <c r="A16" s="4"/>
      <c r="B16" s="5" t="s">
        <v>269</v>
      </c>
      <c r="C16" s="5"/>
      <c r="D16" s="5"/>
      <c r="E16" s="5"/>
      <c r="F16" s="5"/>
      <c r="G16" s="31">
        <f>SUM(G11:G15)</f>
        <v>19300</v>
      </c>
      <c r="H16" s="6"/>
    </row>
    <row r="17" spans="1:8" ht="12.75">
      <c r="A17" s="4"/>
      <c r="B17" s="5"/>
      <c r="C17" s="5"/>
      <c r="D17" s="5"/>
      <c r="E17" s="5"/>
      <c r="F17" s="5"/>
      <c r="G17" s="31"/>
      <c r="H17" s="6"/>
    </row>
    <row r="18" spans="1:8" ht="12.75">
      <c r="A18" s="4"/>
      <c r="B18" s="15" t="s">
        <v>382</v>
      </c>
      <c r="C18" s="5"/>
      <c r="D18" s="5"/>
      <c r="E18" s="81"/>
      <c r="F18" s="81"/>
      <c r="G18" s="31"/>
      <c r="H18" s="6"/>
    </row>
    <row r="19" spans="1:8" ht="12.75">
      <c r="A19" s="4"/>
      <c r="B19" s="5"/>
      <c r="C19" s="5" t="s">
        <v>171</v>
      </c>
      <c r="D19" s="5"/>
      <c r="E19" s="189">
        <f>'Detailed Data'!G35</f>
        <v>100</v>
      </c>
      <c r="F19" s="189">
        <f>'Detailed Data'!H35</f>
        <v>35</v>
      </c>
      <c r="G19" s="95">
        <v>156000</v>
      </c>
      <c r="H19" s="6"/>
    </row>
    <row r="20" spans="1:8" ht="12.75">
      <c r="A20" s="4"/>
      <c r="B20" s="5"/>
      <c r="C20" s="5" t="s">
        <v>17</v>
      </c>
      <c r="D20" s="5"/>
      <c r="E20" s="189">
        <f>'Detailed Data'!G36</f>
        <v>150</v>
      </c>
      <c r="F20" s="189">
        <f>'Detailed Data'!H36</f>
        <v>50</v>
      </c>
      <c r="G20" s="95">
        <v>0</v>
      </c>
      <c r="H20" s="6"/>
    </row>
    <row r="21" spans="1:8" ht="13.5" thickBot="1">
      <c r="A21" s="4"/>
      <c r="B21" s="22"/>
      <c r="C21" s="22" t="s">
        <v>20</v>
      </c>
      <c r="D21" s="22"/>
      <c r="E21" s="188">
        <f>'Detailed Data'!G37</f>
        <v>120</v>
      </c>
      <c r="F21" s="188">
        <f>'Detailed Data'!H37</f>
        <v>60</v>
      </c>
      <c r="G21" s="152">
        <v>0</v>
      </c>
      <c r="H21" s="6"/>
    </row>
    <row r="22" spans="1:8" ht="13.5" thickTop="1">
      <c r="A22" s="4"/>
      <c r="B22" s="5"/>
      <c r="C22" s="5"/>
      <c r="D22" s="5"/>
      <c r="E22" s="5"/>
      <c r="F22" s="5"/>
      <c r="G22" s="31">
        <f>SUM(G19:G21)</f>
        <v>156000</v>
      </c>
      <c r="H22" s="6"/>
    </row>
    <row r="23" spans="1:8" ht="12.75">
      <c r="A23" s="4"/>
      <c r="B23" s="5"/>
      <c r="C23" s="5"/>
      <c r="D23" s="5"/>
      <c r="E23" s="5"/>
      <c r="F23" s="5"/>
      <c r="G23" s="31"/>
      <c r="H23" s="6"/>
    </row>
    <row r="24" spans="1:8" ht="12.75">
      <c r="A24" s="4"/>
      <c r="B24" s="127" t="s">
        <v>379</v>
      </c>
      <c r="C24" s="5"/>
      <c r="D24" s="128" t="s">
        <v>235</v>
      </c>
      <c r="E24" s="5" t="s">
        <v>160</v>
      </c>
      <c r="F24" s="5" t="s">
        <v>161</v>
      </c>
      <c r="G24" s="31"/>
      <c r="H24" s="6"/>
    </row>
    <row r="25" spans="1:8" ht="12.75">
      <c r="A25" s="4"/>
      <c r="B25" s="5"/>
      <c r="C25" s="126" t="s">
        <v>20</v>
      </c>
      <c r="D25" s="5">
        <f>'Front End'!F48</f>
        <v>0</v>
      </c>
      <c r="E25" s="189">
        <f>'Detailed Data'!G39</f>
        <v>120</v>
      </c>
      <c r="F25" s="189">
        <f>'Detailed Data'!H39</f>
        <v>150</v>
      </c>
      <c r="G25" s="31">
        <f>(SUM(F25*12+E25))*D25</f>
        <v>0</v>
      </c>
      <c r="H25" s="6"/>
    </row>
    <row r="26" spans="1:8" ht="12.75">
      <c r="A26" s="4"/>
      <c r="B26" s="5"/>
      <c r="C26" s="126" t="s">
        <v>234</v>
      </c>
      <c r="D26" s="5">
        <f>'Front End'!F49</f>
        <v>2</v>
      </c>
      <c r="E26" s="189">
        <f>'Detailed Data'!G40</f>
        <v>350</v>
      </c>
      <c r="F26" s="189">
        <f>'Detailed Data'!H40</f>
        <v>550</v>
      </c>
      <c r="G26" s="31">
        <f>(SUM(F26*12+E26))*D26</f>
        <v>13900</v>
      </c>
      <c r="H26" s="6"/>
    </row>
    <row r="27" spans="1:8" ht="12.75">
      <c r="A27" s="4"/>
      <c r="B27" s="5"/>
      <c r="C27" s="126" t="s">
        <v>14</v>
      </c>
      <c r="D27" s="5">
        <f>'Front End'!F50</f>
        <v>4</v>
      </c>
      <c r="E27" s="189">
        <f>'Detailed Data'!G41</f>
        <v>350</v>
      </c>
      <c r="F27" s="189">
        <f>'Detailed Data'!H41</f>
        <v>1000</v>
      </c>
      <c r="G27" s="31">
        <f>(SUM(F27*12+E27))*D27</f>
        <v>49400</v>
      </c>
      <c r="H27" s="6"/>
    </row>
    <row r="28" spans="1:8" ht="12.75">
      <c r="A28" s="4"/>
      <c r="B28" s="5"/>
      <c r="C28" s="126" t="s">
        <v>185</v>
      </c>
      <c r="D28" s="5">
        <f>'Front End'!F51</f>
        <v>0</v>
      </c>
      <c r="E28" s="189">
        <f>'Detailed Data'!G42</f>
        <v>350</v>
      </c>
      <c r="F28" s="189">
        <f>'Detailed Data'!H42</f>
        <v>1300</v>
      </c>
      <c r="G28" s="31">
        <f>(SUM(F28*12+E28))*D28</f>
        <v>0</v>
      </c>
      <c r="H28" s="6"/>
    </row>
    <row r="29" spans="1:8" ht="12.75">
      <c r="A29" s="4"/>
      <c r="B29" s="5"/>
      <c r="C29" s="101" t="s">
        <v>186</v>
      </c>
      <c r="D29" s="5">
        <f>'Front End'!F52</f>
        <v>0</v>
      </c>
      <c r="E29" s="189">
        <f>'Detailed Data'!G43</f>
        <v>350</v>
      </c>
      <c r="F29" s="189">
        <f>'Detailed Data'!H43</f>
        <v>2000</v>
      </c>
      <c r="G29" s="31">
        <f>(SUM(F29*12+E29))*D29</f>
        <v>0</v>
      </c>
      <c r="H29" s="6"/>
    </row>
    <row r="30" spans="1:8" ht="13.5" thickBot="1">
      <c r="A30" s="4"/>
      <c r="B30" s="22"/>
      <c r="C30" s="186" t="s">
        <v>511</v>
      </c>
      <c r="D30" s="22"/>
      <c r="E30" s="188">
        <f>'Detailed Data'!G44</f>
        <v>250</v>
      </c>
      <c r="F30" s="188">
        <f>'Detailed Data'!H44</f>
        <v>20000</v>
      </c>
      <c r="G30" s="57">
        <f>(SUM(F30*12+E30))</f>
        <v>240250</v>
      </c>
      <c r="H30" s="6"/>
    </row>
    <row r="31" spans="1:8" ht="13.5" thickTop="1">
      <c r="A31" s="4"/>
      <c r="B31" s="5" t="s">
        <v>269</v>
      </c>
      <c r="C31" s="5"/>
      <c r="D31" s="5"/>
      <c r="E31" s="5"/>
      <c r="F31" s="5"/>
      <c r="G31" s="95">
        <v>303550</v>
      </c>
      <c r="H31" s="6"/>
    </row>
    <row r="32" spans="1:8" ht="12.75">
      <c r="A32" s="4"/>
      <c r="B32" s="5"/>
      <c r="C32" s="5"/>
      <c r="D32" s="5"/>
      <c r="E32" s="5"/>
      <c r="F32" s="5"/>
      <c r="G32" s="31"/>
      <c r="H32" s="6"/>
    </row>
    <row r="33" spans="1:8" ht="12.75">
      <c r="A33" s="4"/>
      <c r="B33" s="15" t="s">
        <v>380</v>
      </c>
      <c r="C33" s="5"/>
      <c r="D33" s="128" t="s">
        <v>235</v>
      </c>
      <c r="E33" s="5" t="s">
        <v>160</v>
      </c>
      <c r="F33" s="5" t="s">
        <v>161</v>
      </c>
      <c r="G33" s="31"/>
      <c r="H33" s="6"/>
    </row>
    <row r="34" spans="1:8" ht="12.75">
      <c r="A34" s="4"/>
      <c r="B34" s="5"/>
      <c r="C34" s="5" t="s">
        <v>14</v>
      </c>
      <c r="D34" s="5">
        <f>'Front End'!G50</f>
        <v>3</v>
      </c>
      <c r="E34" s="189">
        <f>'Detailed Data'!G46</f>
        <v>350</v>
      </c>
      <c r="F34" s="189">
        <f>'Detailed Data'!H46</f>
        <v>1000</v>
      </c>
      <c r="G34" s="72">
        <f>(F34*12+E34)*D34</f>
        <v>37050</v>
      </c>
      <c r="H34" s="6"/>
    </row>
    <row r="35" spans="1:10" ht="12.75">
      <c r="A35" s="4"/>
      <c r="B35" s="5"/>
      <c r="C35" s="5" t="s">
        <v>185</v>
      </c>
      <c r="D35" s="5">
        <f>'Front End'!G51</f>
        <v>0</v>
      </c>
      <c r="E35" s="189">
        <f>'Detailed Data'!G47</f>
        <v>350</v>
      </c>
      <c r="F35" s="189">
        <f>'Detailed Data'!H47</f>
        <v>1300</v>
      </c>
      <c r="G35" s="72">
        <f>(F35*12+E35)*D35</f>
        <v>0</v>
      </c>
      <c r="H35" s="6"/>
      <c r="J35" s="10"/>
    </row>
    <row r="36" spans="1:10" ht="13.5" thickBot="1">
      <c r="A36" s="4"/>
      <c r="B36" s="22"/>
      <c r="C36" s="22" t="s">
        <v>186</v>
      </c>
      <c r="D36" s="22">
        <f>'Front End'!G52</f>
        <v>0</v>
      </c>
      <c r="E36" s="188">
        <f>'Detailed Data'!G48</f>
        <v>350</v>
      </c>
      <c r="F36" s="188">
        <f>'Detailed Data'!H48</f>
        <v>0</v>
      </c>
      <c r="G36" s="57">
        <f>(F36*12+E36)*D36</f>
        <v>0</v>
      </c>
      <c r="H36" s="6"/>
      <c r="J36" s="10"/>
    </row>
    <row r="37" spans="1:8" ht="13.5" thickTop="1">
      <c r="A37" s="4"/>
      <c r="B37" s="5" t="s">
        <v>269</v>
      </c>
      <c r="C37" s="5"/>
      <c r="D37" s="5"/>
      <c r="E37" s="5"/>
      <c r="F37" s="5"/>
      <c r="G37" s="95">
        <v>68172</v>
      </c>
      <c r="H37" s="6"/>
    </row>
    <row r="38" spans="1:8" ht="12.75">
      <c r="A38" s="4"/>
      <c r="B38" s="5"/>
      <c r="C38" s="5"/>
      <c r="D38" s="5"/>
      <c r="E38" s="5"/>
      <c r="F38" s="5"/>
      <c r="G38" s="31"/>
      <c r="H38" s="6"/>
    </row>
    <row r="39" spans="1:8" ht="12.75">
      <c r="A39" s="4"/>
      <c r="B39" s="15" t="s">
        <v>381</v>
      </c>
      <c r="C39" s="5"/>
      <c r="D39" s="5"/>
      <c r="E39" s="5"/>
      <c r="F39" s="5"/>
      <c r="G39" s="31"/>
      <c r="H39" s="6"/>
    </row>
    <row r="40" spans="1:8" ht="12.75">
      <c r="A40" s="4"/>
      <c r="B40" s="5"/>
      <c r="C40" s="5" t="s">
        <v>126</v>
      </c>
      <c r="D40" s="5"/>
      <c r="E40" s="5"/>
      <c r="F40" s="5"/>
      <c r="G40" s="189">
        <f>'Detailed Data'!H50</f>
        <v>0</v>
      </c>
      <c r="H40" s="6"/>
    </row>
    <row r="41" spans="1:8" ht="13.5" thickBot="1">
      <c r="A41" s="4"/>
      <c r="B41" s="22"/>
      <c r="C41" s="22" t="s">
        <v>532</v>
      </c>
      <c r="D41" s="22"/>
      <c r="E41" s="22"/>
      <c r="F41" s="22"/>
      <c r="G41" s="91">
        <f>'Detailed Data'!H51</f>
        <v>0</v>
      </c>
      <c r="H41" s="6"/>
    </row>
    <row r="42" spans="1:8" ht="13.5" thickTop="1">
      <c r="A42" s="4"/>
      <c r="B42" s="5" t="s">
        <v>269</v>
      </c>
      <c r="C42" s="5"/>
      <c r="D42" s="5"/>
      <c r="E42" s="5"/>
      <c r="F42" s="5"/>
      <c r="G42" s="31">
        <f>SUM(G40:G41)</f>
        <v>0</v>
      </c>
      <c r="H42" s="6"/>
    </row>
    <row r="43" spans="1:8" ht="13.5" thickBot="1">
      <c r="A43" s="4"/>
      <c r="B43" s="5"/>
      <c r="C43" s="5"/>
      <c r="D43" s="5"/>
      <c r="E43" s="5"/>
      <c r="F43" s="5"/>
      <c r="G43" s="31"/>
      <c r="H43" s="6"/>
    </row>
    <row r="44" spans="1:8" ht="14.25" thickBot="1" thickTop="1">
      <c r="A44" s="4"/>
      <c r="B44" s="37" t="s">
        <v>267</v>
      </c>
      <c r="C44" s="38"/>
      <c r="D44" s="38"/>
      <c r="E44" s="38"/>
      <c r="F44" s="38"/>
      <c r="G44" s="39">
        <f>SUM(G42,G37,G31,G22,G16,G8)</f>
        <v>907022</v>
      </c>
      <c r="H44" s="6"/>
    </row>
    <row r="45" spans="1:8" ht="13.5" thickTop="1">
      <c r="A45" s="4"/>
      <c r="B45" s="5"/>
      <c r="C45" s="5"/>
      <c r="D45" s="5"/>
      <c r="E45" s="5"/>
      <c r="F45" s="5"/>
      <c r="G45" s="31"/>
      <c r="H45" s="6"/>
    </row>
    <row r="46" spans="1:8" ht="13.5" thickBot="1">
      <c r="A46" s="7"/>
      <c r="B46" s="8"/>
      <c r="C46" s="8"/>
      <c r="D46" s="8"/>
      <c r="E46" s="8"/>
      <c r="F46" s="8"/>
      <c r="G46" s="50"/>
      <c r="H46" s="9"/>
    </row>
    <row r="47" ht="13.5" thickTop="1"/>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60">
      <c r="A58" s="134" t="s">
        <v>249</v>
      </c>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60">
      <c r="A66" s="134"/>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60">
      <c r="A77" s="133"/>
      <c r="B77" s="133"/>
      <c r="C77" s="133"/>
      <c r="D77" s="134"/>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26.xml><?xml version="1.0" encoding="utf-8"?>
<worksheet xmlns="http://schemas.openxmlformats.org/spreadsheetml/2006/main" xmlns:r="http://schemas.openxmlformats.org/officeDocument/2006/relationships">
  <sheetPr codeName="Sheet14">
    <pageSetUpPr fitToPage="1"/>
  </sheetPr>
  <dimension ref="A1:O69"/>
  <sheetViews>
    <sheetView workbookViewId="0" topLeftCell="A30">
      <selection activeCell="A26" sqref="A26"/>
    </sheetView>
  </sheetViews>
  <sheetFormatPr defaultColWidth="9.140625" defaultRowHeight="12.75"/>
  <cols>
    <col min="2" max="2" width="12.28125" style="0" customWidth="1"/>
    <col min="5" max="6" width="11.57421875" style="0" customWidth="1"/>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515</v>
      </c>
      <c r="C3" s="5"/>
      <c r="D3" s="5"/>
      <c r="E3" s="5"/>
      <c r="F3" s="5"/>
      <c r="G3" s="5"/>
      <c r="H3" s="6"/>
    </row>
    <row r="4" spans="1:8" ht="12.75">
      <c r="A4" s="4"/>
      <c r="B4" s="5"/>
      <c r="C4" s="5"/>
      <c r="D4" s="5"/>
      <c r="E4" s="5"/>
      <c r="F4" s="5"/>
      <c r="G4" s="5"/>
      <c r="H4" s="6"/>
    </row>
    <row r="5" spans="1:8" ht="12.75">
      <c r="A5" s="4"/>
      <c r="B5" s="15" t="s">
        <v>516</v>
      </c>
      <c r="C5" s="5"/>
      <c r="D5" s="5"/>
      <c r="E5" s="5"/>
      <c r="F5" s="5"/>
      <c r="G5" s="101" t="s">
        <v>41</v>
      </c>
      <c r="H5" s="6"/>
    </row>
    <row r="6" spans="1:8" ht="13.5" thickBot="1">
      <c r="A6" s="4"/>
      <c r="B6" s="22"/>
      <c r="C6" s="22" t="s">
        <v>165</v>
      </c>
      <c r="D6" s="22"/>
      <c r="E6" s="22"/>
      <c r="F6" s="89">
        <f>'Application Maintenance'!G7</f>
        <v>2</v>
      </c>
      <c r="G6" s="35">
        <f>'Calculation Sheet'!E11/52/40*F6*12</f>
        <v>876.2653846153845</v>
      </c>
      <c r="H6" s="6"/>
    </row>
    <row r="7" spans="1:8" ht="13.5" thickTop="1">
      <c r="A7" s="4"/>
      <c r="B7" s="5" t="s">
        <v>269</v>
      </c>
      <c r="C7" s="5"/>
      <c r="D7" s="5"/>
      <c r="E7" s="5"/>
      <c r="F7" s="5"/>
      <c r="G7" s="31">
        <f>SUM(G6)</f>
        <v>876.2653846153845</v>
      </c>
      <c r="H7" s="6"/>
    </row>
    <row r="8" spans="1:8" ht="12.75">
      <c r="A8" s="4"/>
      <c r="B8" s="5"/>
      <c r="C8" s="5"/>
      <c r="D8" s="5"/>
      <c r="E8" s="5"/>
      <c r="F8" s="5"/>
      <c r="G8" s="5"/>
      <c r="H8" s="6"/>
    </row>
    <row r="9" spans="1:8" ht="12.75">
      <c r="A9" s="4"/>
      <c r="B9" s="15" t="s">
        <v>517</v>
      </c>
      <c r="C9" s="5"/>
      <c r="D9" s="5"/>
      <c r="E9" s="5"/>
      <c r="F9" s="5"/>
      <c r="G9" s="31"/>
      <c r="H9" s="6"/>
    </row>
    <row r="10" spans="1:8" ht="13.5" thickBot="1">
      <c r="A10" s="4"/>
      <c r="B10" s="22"/>
      <c r="C10" s="22" t="s">
        <v>128</v>
      </c>
      <c r="D10" s="22"/>
      <c r="E10" s="22"/>
      <c r="F10" s="22"/>
      <c r="G10" s="91">
        <f>'Application Maintenance'!G10</f>
        <v>0</v>
      </c>
      <c r="H10" s="6"/>
    </row>
    <row r="11" spans="1:8" ht="13.5" thickTop="1">
      <c r="A11" s="4"/>
      <c r="B11" s="5" t="s">
        <v>269</v>
      </c>
      <c r="C11" s="5"/>
      <c r="D11" s="5"/>
      <c r="E11" s="5"/>
      <c r="F11" s="5"/>
      <c r="G11" s="31">
        <f>SUM(G10)</f>
        <v>0</v>
      </c>
      <c r="H11" s="6"/>
    </row>
    <row r="12" spans="1:8" ht="12.75">
      <c r="A12" s="4"/>
      <c r="B12" s="5"/>
      <c r="C12" s="5"/>
      <c r="D12" s="5"/>
      <c r="E12" s="5"/>
      <c r="F12" s="5"/>
      <c r="G12" s="31"/>
      <c r="H12" s="6"/>
    </row>
    <row r="13" spans="1:8" ht="12.75">
      <c r="A13" s="4"/>
      <c r="B13" s="15" t="s">
        <v>518</v>
      </c>
      <c r="C13" s="5"/>
      <c r="D13" s="5"/>
      <c r="E13" s="5"/>
      <c r="F13" s="5"/>
      <c r="G13" s="31"/>
      <c r="H13" s="6"/>
    </row>
    <row r="14" spans="1:8" ht="12.75">
      <c r="A14" s="4"/>
      <c r="B14" s="5"/>
      <c r="C14" s="5" t="s">
        <v>129</v>
      </c>
      <c r="D14" s="5"/>
      <c r="E14" s="5"/>
      <c r="F14" s="5"/>
      <c r="G14" s="85">
        <f>'Application Maintenance'!G13</f>
        <v>100</v>
      </c>
      <c r="H14" s="6"/>
    </row>
    <row r="15" spans="1:8" ht="12.75">
      <c r="A15" s="4"/>
      <c r="B15" s="5"/>
      <c r="C15" s="5" t="s">
        <v>130</v>
      </c>
      <c r="D15" s="5"/>
      <c r="E15" s="5"/>
      <c r="F15" s="5"/>
      <c r="G15" s="85">
        <f>'Application Maintenance'!G14</f>
        <v>600</v>
      </c>
      <c r="H15" s="6"/>
    </row>
    <row r="16" spans="1:8" ht="13.5" thickBot="1">
      <c r="A16" s="4"/>
      <c r="B16" s="22"/>
      <c r="C16" s="22" t="s">
        <v>131</v>
      </c>
      <c r="D16" s="22"/>
      <c r="E16" s="22"/>
      <c r="F16" s="22"/>
      <c r="G16" s="91">
        <f>'Application Maintenance'!G15</f>
        <v>400</v>
      </c>
      <c r="H16" s="6"/>
    </row>
    <row r="17" spans="1:8" ht="13.5" thickTop="1">
      <c r="A17" s="4"/>
      <c r="B17" s="5" t="s">
        <v>269</v>
      </c>
      <c r="C17" s="5"/>
      <c r="D17" s="5"/>
      <c r="E17" s="5"/>
      <c r="F17" s="5"/>
      <c r="G17" s="95">
        <v>1000</v>
      </c>
      <c r="H17" s="6"/>
    </row>
    <row r="18" spans="1:8" ht="12.75">
      <c r="A18" s="4"/>
      <c r="B18" s="5"/>
      <c r="C18" s="5"/>
      <c r="D18" s="5"/>
      <c r="E18" s="5"/>
      <c r="F18" s="5"/>
      <c r="G18" s="31"/>
      <c r="H18" s="6"/>
    </row>
    <row r="19" spans="1:8" ht="13.5" thickBot="1">
      <c r="A19" s="4"/>
      <c r="B19" s="5"/>
      <c r="C19" s="5"/>
      <c r="D19" s="5"/>
      <c r="E19" s="5"/>
      <c r="F19" s="5"/>
      <c r="G19" s="31"/>
      <c r="H19" s="6"/>
    </row>
    <row r="20" spans="1:8" ht="14.25" thickBot="1" thickTop="1">
      <c r="A20" s="4"/>
      <c r="B20" s="37"/>
      <c r="C20" s="38"/>
      <c r="D20" s="38"/>
      <c r="E20" s="38"/>
      <c r="F20" s="38"/>
      <c r="G20" s="150">
        <v>1876.27</v>
      </c>
      <c r="H20" s="6"/>
    </row>
    <row r="21" spans="1:8" ht="13.5" thickTop="1">
      <c r="A21" s="4"/>
      <c r="B21" s="5"/>
      <c r="C21" s="5"/>
      <c r="D21" s="5"/>
      <c r="E21" s="5"/>
      <c r="F21" s="5"/>
      <c r="G21" s="5"/>
      <c r="H21" s="6"/>
    </row>
    <row r="22" spans="1:8" ht="12.75">
      <c r="A22" s="4"/>
      <c r="B22" s="66"/>
      <c r="C22" s="5"/>
      <c r="D22" s="5"/>
      <c r="E22" s="5"/>
      <c r="F22" s="5"/>
      <c r="G22" s="5"/>
      <c r="H22" s="6"/>
    </row>
    <row r="23" spans="1:8" ht="12.75">
      <c r="A23" s="4"/>
      <c r="B23" s="32"/>
      <c r="C23" s="5"/>
      <c r="D23" s="5"/>
      <c r="E23" s="5"/>
      <c r="F23" s="5"/>
      <c r="G23" s="5"/>
      <c r="H23" s="6"/>
    </row>
    <row r="24" spans="1:8" ht="13.5" thickBot="1">
      <c r="A24" s="7"/>
      <c r="B24" s="8"/>
      <c r="C24" s="8"/>
      <c r="D24" s="8"/>
      <c r="E24" s="8"/>
      <c r="F24" s="8"/>
      <c r="G24" s="8"/>
      <c r="H24" s="9"/>
    </row>
    <row r="25"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93" r:id="rId1"/>
  <headerFooter alignWithMargins="0">
    <oddHeader>&amp;CTotal Cost of Application Ownership (TCA) Calculator</oddHeader>
    <oddFooter>&amp;LThe Tolly Group TCA Calculator&amp;R© The Tolly Group, 1999</oddFooter>
  </headerFooter>
</worksheet>
</file>

<file path=xl/worksheets/sheet27.xml><?xml version="1.0" encoding="utf-8"?>
<worksheet xmlns="http://schemas.openxmlformats.org/spreadsheetml/2006/main" xmlns:r="http://schemas.openxmlformats.org/officeDocument/2006/relationships">
  <sheetPr codeName="Sheet15">
    <pageSetUpPr fitToPage="1"/>
  </sheetPr>
  <dimension ref="A1:O69"/>
  <sheetViews>
    <sheetView workbookViewId="0" topLeftCell="A30">
      <selection activeCell="A20" sqref="A20"/>
    </sheetView>
  </sheetViews>
  <sheetFormatPr defaultColWidth="9.140625" defaultRowHeight="12.75"/>
  <cols>
    <col min="4" max="4" width="14.140625" style="0" customWidth="1"/>
    <col min="5" max="5" width="22.710937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383</v>
      </c>
      <c r="C3" s="5"/>
      <c r="D3" s="5"/>
      <c r="E3" s="5" t="s">
        <v>166</v>
      </c>
      <c r="F3" s="101" t="s">
        <v>41</v>
      </c>
      <c r="G3" s="6"/>
    </row>
    <row r="4" spans="1:7" ht="12.75">
      <c r="A4" s="4"/>
      <c r="B4" s="15" t="s">
        <v>384</v>
      </c>
      <c r="C4" s="5"/>
      <c r="D4" s="5"/>
      <c r="E4" s="88">
        <f>'Server Operations'!F5</f>
        <v>21</v>
      </c>
      <c r="F4" s="31">
        <f>'Calculation Sheet'!E16/52/40*E4*12</f>
        <v>11682.259615384615</v>
      </c>
      <c r="G4" s="6"/>
    </row>
    <row r="5" spans="1:7" ht="12.75">
      <c r="A5" s="4"/>
      <c r="B5" s="15" t="s">
        <v>385</v>
      </c>
      <c r="C5" s="5"/>
      <c r="D5" s="5"/>
      <c r="E5" s="88">
        <f>'Server Operations'!F6</f>
        <v>40</v>
      </c>
      <c r="F5" s="31">
        <f>'Calculation Sheet'!E16/52/40*E5*12</f>
        <v>22251.923076923078</v>
      </c>
      <c r="G5" s="6"/>
    </row>
    <row r="6" spans="1:7" ht="13.5" thickBot="1">
      <c r="A6" s="4"/>
      <c r="B6" s="21" t="s">
        <v>387</v>
      </c>
      <c r="C6" s="22"/>
      <c r="D6" s="22"/>
      <c r="E6" s="89">
        <f>'Server Operations'!F7</f>
        <v>40</v>
      </c>
      <c r="F6" s="35">
        <f>'Calculation Sheet'!E16/52/40*E6*12</f>
        <v>22251.923076923078</v>
      </c>
      <c r="G6" s="6"/>
    </row>
    <row r="7" spans="1:7" ht="13.5" thickTop="1">
      <c r="A7" s="4"/>
      <c r="B7" s="5" t="s">
        <v>269</v>
      </c>
      <c r="C7" s="5"/>
      <c r="D7" s="5"/>
      <c r="E7" s="5"/>
      <c r="F7" s="31">
        <f>SUM(F4:F6)</f>
        <v>56186.10576923077</v>
      </c>
      <c r="G7" s="6"/>
    </row>
    <row r="8" spans="1:7" ht="12.75">
      <c r="A8" s="4"/>
      <c r="B8" s="5"/>
      <c r="C8" s="5"/>
      <c r="D8" s="5"/>
      <c r="E8" s="5"/>
      <c r="F8" s="31"/>
      <c r="G8" s="6"/>
    </row>
    <row r="9" spans="1:7" ht="12.75">
      <c r="A9" s="4"/>
      <c r="B9" s="15" t="s">
        <v>386</v>
      </c>
      <c r="C9" s="5"/>
      <c r="D9" s="5"/>
      <c r="E9" s="5"/>
      <c r="F9" s="31"/>
      <c r="G9" s="6"/>
    </row>
    <row r="10" spans="1:7" ht="12.75">
      <c r="A10" s="4"/>
      <c r="B10" s="5"/>
      <c r="C10" s="5" t="s">
        <v>133</v>
      </c>
      <c r="D10" s="5"/>
      <c r="E10" s="5"/>
      <c r="F10" s="85">
        <f>'Server Operations'!F10</f>
        <v>1500</v>
      </c>
      <c r="G10" s="6"/>
    </row>
    <row r="11" spans="1:7" ht="13.5" thickBot="1">
      <c r="A11" s="4"/>
      <c r="B11" s="22"/>
      <c r="C11" s="22" t="s">
        <v>134</v>
      </c>
      <c r="D11" s="22"/>
      <c r="E11" s="22"/>
      <c r="F11" s="91">
        <f>'Server Operations'!F11</f>
        <v>3000</v>
      </c>
      <c r="G11" s="6"/>
    </row>
    <row r="12" spans="1:7" ht="13.5" thickTop="1">
      <c r="A12" s="4"/>
      <c r="B12" s="5" t="s">
        <v>269</v>
      </c>
      <c r="C12" s="5"/>
      <c r="D12" s="5"/>
      <c r="E12" s="5"/>
      <c r="F12" s="31">
        <f>F10+F11</f>
        <v>4500</v>
      </c>
      <c r="G12" s="6"/>
    </row>
    <row r="13" spans="1:7" ht="13.5" thickBot="1">
      <c r="A13" s="4"/>
      <c r="B13" s="5"/>
      <c r="C13" s="5"/>
      <c r="D13" s="5"/>
      <c r="E13" s="5"/>
      <c r="F13" s="31"/>
      <c r="G13" s="6"/>
    </row>
    <row r="14" spans="1:7" ht="14.25" thickBot="1" thickTop="1">
      <c r="A14" s="4"/>
      <c r="B14" s="37" t="s">
        <v>135</v>
      </c>
      <c r="C14" s="38"/>
      <c r="D14" s="38"/>
      <c r="E14" s="38"/>
      <c r="F14" s="39">
        <f>SUM(F12,F7)</f>
        <v>60686.10576923077</v>
      </c>
      <c r="G14" s="6"/>
    </row>
    <row r="15" spans="1:7" ht="13.5" thickTop="1">
      <c r="A15" s="4"/>
      <c r="B15" s="5"/>
      <c r="C15" s="5"/>
      <c r="D15" s="5"/>
      <c r="E15" s="5"/>
      <c r="F15" s="5"/>
      <c r="G15" s="6"/>
    </row>
    <row r="16" spans="1:7" ht="13.5" thickBot="1">
      <c r="A16" s="7"/>
      <c r="B16" s="8"/>
      <c r="C16" s="8"/>
      <c r="D16" s="8"/>
      <c r="E16" s="8"/>
      <c r="F16" s="8"/>
      <c r="G16" s="9"/>
    </row>
    <row r="17"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28.xml><?xml version="1.0" encoding="utf-8"?>
<worksheet xmlns="http://schemas.openxmlformats.org/spreadsheetml/2006/main" xmlns:r="http://schemas.openxmlformats.org/officeDocument/2006/relationships">
  <sheetPr codeName="Sheet17">
    <pageSetUpPr fitToPage="1"/>
  </sheetPr>
  <dimension ref="A1:O79"/>
  <sheetViews>
    <sheetView workbookViewId="0" topLeftCell="A40">
      <selection activeCell="A35" sqref="A35"/>
    </sheetView>
  </sheetViews>
  <sheetFormatPr defaultColWidth="9.140625" defaultRowHeight="12.75"/>
  <cols>
    <col min="3" max="3" width="13.28125" style="0" customWidth="1"/>
    <col min="4" max="4" width="12.57421875" style="0" customWidth="1"/>
    <col min="5" max="5" width="10.421875" style="0" customWidth="1"/>
    <col min="6" max="6" width="16.140625" style="0" customWidth="1"/>
    <col min="7" max="7" width="11.42187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388</v>
      </c>
      <c r="C3" s="5"/>
      <c r="D3" s="5"/>
      <c r="E3" s="5"/>
      <c r="F3" s="5"/>
      <c r="G3" s="6"/>
    </row>
    <row r="4" spans="1:7" ht="12.75" customHeight="1">
      <c r="A4" s="4"/>
      <c r="B4" s="30"/>
      <c r="C4" s="5"/>
      <c r="D4" s="5"/>
      <c r="E4" s="5"/>
      <c r="F4" s="5"/>
      <c r="G4" s="6"/>
    </row>
    <row r="5" spans="1:7" ht="12.75" customHeight="1">
      <c r="A5" s="4"/>
      <c r="B5" s="15" t="s">
        <v>389</v>
      </c>
      <c r="C5" s="5"/>
      <c r="D5" s="5"/>
      <c r="E5" s="5"/>
      <c r="F5" s="5"/>
      <c r="G5" s="6"/>
    </row>
    <row r="6" spans="1:7" ht="12.75" customHeight="1">
      <c r="A6" s="4"/>
      <c r="B6" s="5"/>
      <c r="C6" s="5" t="s">
        <v>45</v>
      </c>
      <c r="D6" s="5"/>
      <c r="E6" s="86">
        <f>'Loss of Productivity'!F8</f>
        <v>0.05</v>
      </c>
      <c r="F6" s="5"/>
      <c r="G6" s="6"/>
    </row>
    <row r="7" spans="1:7" ht="12.75" customHeight="1">
      <c r="A7" s="4"/>
      <c r="B7" s="5"/>
      <c r="C7" s="5" t="s">
        <v>46</v>
      </c>
      <c r="D7" s="5"/>
      <c r="E7" s="86">
        <f>'Loss of Productivity'!F9</f>
        <v>0</v>
      </c>
      <c r="F7" s="5"/>
      <c r="G7" s="6"/>
    </row>
    <row r="8" spans="1:7" ht="12.75" customHeight="1">
      <c r="A8" s="4"/>
      <c r="B8" s="5"/>
      <c r="C8" s="5" t="s">
        <v>12</v>
      </c>
      <c r="D8" s="5"/>
      <c r="E8" s="86">
        <f>'Loss of Productivity'!F10</f>
        <v>0</v>
      </c>
      <c r="F8" s="5"/>
      <c r="G8" s="6"/>
    </row>
    <row r="9" spans="1:7" ht="12.75" customHeight="1">
      <c r="A9" s="4"/>
      <c r="B9" s="5"/>
      <c r="C9" s="5"/>
      <c r="D9" s="5"/>
      <c r="E9" s="5"/>
      <c r="F9" s="5"/>
      <c r="G9" s="6"/>
    </row>
    <row r="10" spans="1:7" ht="12.75">
      <c r="A10" s="4"/>
      <c r="B10" s="15" t="s">
        <v>390</v>
      </c>
      <c r="C10" s="5"/>
      <c r="D10" s="5"/>
      <c r="E10" s="5"/>
      <c r="F10" s="5"/>
      <c r="G10" s="6"/>
    </row>
    <row r="11" spans="1:7" ht="12.75">
      <c r="A11" s="4"/>
      <c r="B11" s="5"/>
      <c r="C11" s="5" t="s">
        <v>142</v>
      </c>
      <c r="D11" s="5"/>
      <c r="E11" s="5"/>
      <c r="F11" s="31"/>
      <c r="G11" s="6"/>
    </row>
    <row r="12" spans="1:7" ht="12.75">
      <c r="A12" s="4"/>
      <c r="B12" s="5"/>
      <c r="C12" s="5"/>
      <c r="D12" s="5" t="s">
        <v>48</v>
      </c>
      <c r="E12" s="5"/>
      <c r="F12" s="31">
        <v>0</v>
      </c>
      <c r="G12" s="6"/>
    </row>
    <row r="13" spans="1:7" ht="12.75">
      <c r="A13" s="4"/>
      <c r="B13" s="5"/>
      <c r="C13" s="5"/>
      <c r="D13" s="5" t="s">
        <v>270</v>
      </c>
      <c r="E13" s="5"/>
      <c r="F13" s="31">
        <f>'Calculation Sheet'!D4*$E$8*('Front End'!$G$3*0.25)</f>
        <v>0</v>
      </c>
      <c r="G13" s="6"/>
    </row>
    <row r="14" spans="1:7" ht="13.5" thickBot="1">
      <c r="A14" s="4"/>
      <c r="B14" s="22"/>
      <c r="C14" s="22"/>
      <c r="D14" s="22" t="s">
        <v>49</v>
      </c>
      <c r="E14" s="22"/>
      <c r="F14" s="31">
        <f>'Calculation Sheet'!D5*$E$8*('Front End'!$G$3*0.1)</f>
        <v>0</v>
      </c>
      <c r="G14" s="6"/>
    </row>
    <row r="15" spans="1:7" ht="13.5" thickTop="1">
      <c r="A15" s="4"/>
      <c r="B15" s="5"/>
      <c r="C15" s="5"/>
      <c r="D15" s="5"/>
      <c r="E15" s="5"/>
      <c r="F15" s="68">
        <f>SUM(F12:F14)</f>
        <v>0</v>
      </c>
      <c r="G15" s="6"/>
    </row>
    <row r="16" spans="1:7" ht="12.75">
      <c r="A16" s="4"/>
      <c r="B16" s="5"/>
      <c r="C16" s="5"/>
      <c r="D16" s="5"/>
      <c r="E16" s="5"/>
      <c r="F16" s="31"/>
      <c r="G16" s="6"/>
    </row>
    <row r="17" spans="1:7" ht="12.75">
      <c r="A17" s="4"/>
      <c r="B17" s="15" t="s">
        <v>392</v>
      </c>
      <c r="C17" s="5"/>
      <c r="D17" s="5"/>
      <c r="E17" s="5"/>
      <c r="F17" s="5"/>
      <c r="G17" s="6"/>
    </row>
    <row r="18" spans="1:7" ht="12.75">
      <c r="A18" s="4"/>
      <c r="B18" s="5"/>
      <c r="C18" s="5" t="s">
        <v>142</v>
      </c>
      <c r="D18" s="5"/>
      <c r="E18" s="5"/>
      <c r="F18" s="31"/>
      <c r="G18" s="6"/>
    </row>
    <row r="19" spans="1:7" ht="12.75">
      <c r="A19" s="4"/>
      <c r="B19" s="5"/>
      <c r="C19" s="5"/>
      <c r="D19" s="5" t="s">
        <v>48</v>
      </c>
      <c r="E19" s="5"/>
      <c r="F19" s="31">
        <f>'Calculation Sheet'!D3*$E$7*('Front End'!$G$3*0.65)</f>
        <v>0</v>
      </c>
      <c r="G19" s="6"/>
    </row>
    <row r="20" spans="1:7" ht="12.75">
      <c r="A20" s="4"/>
      <c r="B20" s="5"/>
      <c r="C20" s="5"/>
      <c r="D20" s="5" t="s">
        <v>270</v>
      </c>
      <c r="E20" s="5"/>
      <c r="F20" s="31">
        <f>'Calculation Sheet'!D4*$E$7*('Front End'!$G$3*0.25)</f>
        <v>0</v>
      </c>
      <c r="G20" s="6"/>
    </row>
    <row r="21" spans="1:7" ht="13.5" thickBot="1">
      <c r="A21" s="4"/>
      <c r="B21" s="22"/>
      <c r="C21" s="22"/>
      <c r="D21" s="22" t="s">
        <v>49</v>
      </c>
      <c r="E21" s="22"/>
      <c r="F21" s="35">
        <f>'Calculation Sheet'!D5*$E$7*('Front End'!$G$3*0.1)</f>
        <v>0</v>
      </c>
      <c r="G21" s="6"/>
    </row>
    <row r="22" spans="1:7" ht="13.5" thickTop="1">
      <c r="A22" s="4"/>
      <c r="B22" s="5"/>
      <c r="C22" s="5"/>
      <c r="D22" s="5"/>
      <c r="E22" s="5"/>
      <c r="F22" s="31">
        <f>SUM(F19:F21)</f>
        <v>0</v>
      </c>
      <c r="G22" s="6"/>
    </row>
    <row r="23" spans="1:7" ht="12.75">
      <c r="A23" s="4"/>
      <c r="B23" s="5"/>
      <c r="C23" s="5"/>
      <c r="D23" s="5"/>
      <c r="E23" s="5"/>
      <c r="F23" s="31"/>
      <c r="G23" s="6"/>
    </row>
    <row r="24" spans="1:7" ht="12.75">
      <c r="A24" s="4"/>
      <c r="B24" s="15" t="s">
        <v>391</v>
      </c>
      <c r="C24" s="5"/>
      <c r="D24" s="5"/>
      <c r="E24" s="5"/>
      <c r="F24" s="5"/>
      <c r="G24" s="6"/>
    </row>
    <row r="25" spans="1:7" ht="12.75">
      <c r="A25" s="4"/>
      <c r="B25" s="5"/>
      <c r="C25" s="5" t="s">
        <v>142</v>
      </c>
      <c r="D25" s="5"/>
      <c r="E25" s="5"/>
      <c r="F25" s="31"/>
      <c r="G25" s="6"/>
    </row>
    <row r="26" spans="1:7" ht="12.75">
      <c r="A26" s="4"/>
      <c r="B26" s="5"/>
      <c r="C26" s="5"/>
      <c r="D26" s="5" t="s">
        <v>48</v>
      </c>
      <c r="E26" s="5"/>
      <c r="F26" s="31">
        <f>'Calculation Sheet'!D3*$E$6*('Front End'!$G$3*0.65)</f>
        <v>4322500</v>
      </c>
      <c r="G26" s="6"/>
    </row>
    <row r="27" spans="1:7" ht="12.75">
      <c r="A27" s="4"/>
      <c r="B27" s="5"/>
      <c r="C27" s="5"/>
      <c r="D27" s="5" t="s">
        <v>270</v>
      </c>
      <c r="E27" s="5"/>
      <c r="F27" s="31">
        <f>'Calculation Sheet'!D4*$E$6*('Front End'!$G$3*0.25)</f>
        <v>3325000</v>
      </c>
      <c r="G27" s="6"/>
    </row>
    <row r="28" spans="1:7" ht="13.5" thickBot="1">
      <c r="A28" s="4"/>
      <c r="B28" s="22"/>
      <c r="C28" s="22"/>
      <c r="D28" s="22" t="s">
        <v>49</v>
      </c>
      <c r="E28" s="22"/>
      <c r="F28" s="35">
        <f>'Calculation Sheet'!D5*$E$6*('Front End'!$G$3*0.1)</f>
        <v>2493750</v>
      </c>
      <c r="G28" s="6"/>
    </row>
    <row r="29" spans="1:7" ht="13.5" thickTop="1">
      <c r="A29" s="4"/>
      <c r="B29" s="5" t="s">
        <v>269</v>
      </c>
      <c r="C29" s="5"/>
      <c r="D29" s="5"/>
      <c r="E29" s="5"/>
      <c r="F29" s="31">
        <f>SUM(F26:F28)</f>
        <v>10141250</v>
      </c>
      <c r="G29" s="6"/>
    </row>
    <row r="30" spans="1:7" ht="13.5" thickBot="1">
      <c r="A30" s="4"/>
      <c r="B30" s="5"/>
      <c r="C30" s="5"/>
      <c r="D30" s="5"/>
      <c r="E30" s="5"/>
      <c r="F30" s="31"/>
      <c r="G30" s="6"/>
    </row>
    <row r="31" spans="1:7" ht="14.25" thickBot="1" thickTop="1">
      <c r="A31" s="4"/>
      <c r="B31" s="37" t="s">
        <v>143</v>
      </c>
      <c r="C31" s="38"/>
      <c r="D31" s="38"/>
      <c r="E31" s="38"/>
      <c r="F31" s="150">
        <v>10141250</v>
      </c>
      <c r="G31" s="6"/>
    </row>
    <row r="32" spans="1:7" ht="13.5" thickTop="1">
      <c r="A32" s="4"/>
      <c r="B32" s="5"/>
      <c r="C32" s="5"/>
      <c r="D32" s="5"/>
      <c r="E32" s="5"/>
      <c r="F32" s="5"/>
      <c r="G32" s="6"/>
    </row>
    <row r="33" spans="1:7" ht="13.5" thickBot="1">
      <c r="A33" s="7"/>
      <c r="B33" s="8"/>
      <c r="C33" s="8"/>
      <c r="D33" s="8"/>
      <c r="E33" s="8"/>
      <c r="F33" s="8"/>
      <c r="G33" s="9"/>
    </row>
    <row r="34"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90" r:id="rId1"/>
  <headerFooter alignWithMargins="0">
    <oddHeader>&amp;CTotal Cost of Application Ownership (TCA) Calculator</oddHeader>
    <oddFooter>&amp;LThe Tolly Group TCA Calculator&amp;R© The Tolly Group, 1999</oddFooter>
  </headerFooter>
</worksheet>
</file>

<file path=xl/worksheets/sheet29.xml><?xml version="1.0" encoding="utf-8"?>
<worksheet xmlns="http://schemas.openxmlformats.org/spreadsheetml/2006/main" xmlns:r="http://schemas.openxmlformats.org/officeDocument/2006/relationships">
  <sheetPr codeName="Sheet19">
    <pageSetUpPr fitToPage="1"/>
  </sheetPr>
  <dimension ref="A1:O68"/>
  <sheetViews>
    <sheetView workbookViewId="0" topLeftCell="A29">
      <selection activeCell="A26" sqref="A26"/>
    </sheetView>
  </sheetViews>
  <sheetFormatPr defaultColWidth="9.140625" defaultRowHeight="12.75"/>
  <cols>
    <col min="6" max="6" width="16.00390625" style="10" customWidth="1"/>
  </cols>
  <sheetData>
    <row r="1" spans="1:7" ht="16.5" thickTop="1">
      <c r="A1" s="29" t="s">
        <v>393</v>
      </c>
      <c r="B1" s="3"/>
      <c r="C1" s="3"/>
      <c r="D1" s="3"/>
      <c r="E1" s="3"/>
      <c r="F1" s="69"/>
      <c r="G1" s="13"/>
    </row>
    <row r="2" spans="1:7" ht="12.75">
      <c r="A2" s="4"/>
      <c r="B2" s="5"/>
      <c r="C2" s="5"/>
      <c r="D2" s="5"/>
      <c r="E2" s="5"/>
      <c r="F2" s="31"/>
      <c r="G2" s="6"/>
    </row>
    <row r="3" spans="1:7" ht="12.75">
      <c r="A3" s="4"/>
      <c r="B3" s="5" t="s">
        <v>148</v>
      </c>
      <c r="C3" s="5"/>
      <c r="D3" s="44"/>
      <c r="E3" s="44"/>
      <c r="F3" s="70"/>
      <c r="G3" s="6"/>
    </row>
    <row r="4" spans="1:7" ht="12.75">
      <c r="A4" s="4"/>
      <c r="B4" s="5"/>
      <c r="C4" s="5" t="s">
        <v>43</v>
      </c>
      <c r="D4" s="5"/>
      <c r="E4" s="5"/>
      <c r="F4" s="31">
        <f>'Fat-Application Development'!G32</f>
        <v>31982.21153846154</v>
      </c>
      <c r="G4" s="6"/>
    </row>
    <row r="5" spans="1:7" ht="12.75">
      <c r="A5" s="4"/>
      <c r="B5" s="5"/>
      <c r="C5" s="5" t="s">
        <v>61</v>
      </c>
      <c r="D5" s="5"/>
      <c r="E5" s="5"/>
      <c r="F5" s="31">
        <f>'Fat-Client Software Acquisition'!H29</f>
        <v>1077500</v>
      </c>
      <c r="G5" s="6"/>
    </row>
    <row r="6" spans="1:7" ht="12.75">
      <c r="A6" s="4"/>
      <c r="B6" s="5"/>
      <c r="C6" s="5" t="s">
        <v>74</v>
      </c>
      <c r="D6" s="5"/>
      <c r="E6" s="5"/>
      <c r="F6" s="31">
        <f>'Fat-Server Software Acquisition'!H33</f>
        <v>384078</v>
      </c>
      <c r="G6" s="6"/>
    </row>
    <row r="7" spans="1:7" ht="12.75">
      <c r="A7" s="4"/>
      <c r="B7" s="5"/>
      <c r="C7" s="5" t="s">
        <v>149</v>
      </c>
      <c r="D7" s="5"/>
      <c r="E7" s="5"/>
      <c r="F7" s="31">
        <f>'Fat-Application Integration'!G18</f>
        <v>4897.752403846154</v>
      </c>
      <c r="G7" s="6"/>
    </row>
    <row r="8" spans="1:7" ht="12.75">
      <c r="A8" s="4"/>
      <c r="B8" s="5"/>
      <c r="C8" s="5" t="s">
        <v>98</v>
      </c>
      <c r="D8" s="5"/>
      <c r="E8" s="5"/>
      <c r="F8" s="31">
        <f>'Fat-Application Installation'!G17*'Front End'!G3</f>
        <v>159725</v>
      </c>
      <c r="G8" s="6"/>
    </row>
    <row r="9" spans="1:7" ht="12.75">
      <c r="A9" s="4"/>
      <c r="B9" s="5"/>
      <c r="C9" s="5" t="s">
        <v>99</v>
      </c>
      <c r="D9" s="5"/>
      <c r="E9" s="5"/>
      <c r="F9" s="31">
        <f>'Fat-Application Training'!G40</f>
        <v>4013547.692307692</v>
      </c>
      <c r="G9" s="6"/>
    </row>
    <row r="10" spans="1:7" ht="12.75">
      <c r="A10" s="4"/>
      <c r="B10" s="5"/>
      <c r="C10" s="5" t="s">
        <v>100</v>
      </c>
      <c r="D10" s="5"/>
      <c r="E10" s="5"/>
      <c r="F10" s="31">
        <f>SUM('Fat-Hardware Procurement'!H51,'Fat-Hardware Procurement'!H40,'Fat-Hardware Procurement'!H79)</f>
        <v>1670000</v>
      </c>
      <c r="G10" s="6"/>
    </row>
    <row r="11" spans="1:7" ht="13.5" thickBot="1">
      <c r="A11" s="4"/>
      <c r="B11" s="22"/>
      <c r="C11" s="22" t="s">
        <v>228</v>
      </c>
      <c r="D11" s="22"/>
      <c r="E11" s="22"/>
      <c r="F11" s="35">
        <f>'Fat WAN Infrastructure'!G44</f>
        <v>907022</v>
      </c>
      <c r="G11" s="6"/>
    </row>
    <row r="12" spans="1:7" ht="13.5" thickTop="1">
      <c r="A12" s="4"/>
      <c r="B12" s="5" t="s">
        <v>150</v>
      </c>
      <c r="C12" s="5"/>
      <c r="D12" s="5"/>
      <c r="E12" s="5"/>
      <c r="F12" s="31">
        <f>SUM(F4:F11)</f>
        <v>8248752.65625</v>
      </c>
      <c r="G12" s="6"/>
    </row>
    <row r="13" spans="1:7" ht="12.75">
      <c r="A13" s="4"/>
      <c r="B13" s="5"/>
      <c r="C13" s="5"/>
      <c r="D13" s="5"/>
      <c r="E13" s="5"/>
      <c r="F13" s="31"/>
      <c r="G13" s="6"/>
    </row>
    <row r="14" spans="1:7" ht="12.75">
      <c r="A14" s="4"/>
      <c r="B14" s="5" t="s">
        <v>151</v>
      </c>
      <c r="C14" s="5"/>
      <c r="D14" s="44"/>
      <c r="E14" s="44"/>
      <c r="F14" s="70"/>
      <c r="G14" s="6"/>
    </row>
    <row r="15" spans="1:7" ht="12.75">
      <c r="A15" s="4"/>
      <c r="B15" s="5"/>
      <c r="C15" s="5" t="s">
        <v>127</v>
      </c>
      <c r="D15" s="5"/>
      <c r="E15" s="5"/>
      <c r="F15" s="31">
        <f>'Fat-Application Maintenance'!G20*'Front End'!G3</f>
        <v>4690675</v>
      </c>
      <c r="G15" s="6"/>
    </row>
    <row r="16" spans="1:7" ht="12.75">
      <c r="A16" s="4"/>
      <c r="B16" s="5"/>
      <c r="C16" s="5" t="s">
        <v>132</v>
      </c>
      <c r="D16" s="5"/>
      <c r="E16" s="5"/>
      <c r="F16" s="31">
        <f>'Fat-Server Operations'!F14</f>
        <v>60686.10576923077</v>
      </c>
      <c r="G16" s="6"/>
    </row>
    <row r="17" spans="1:7" ht="12.75">
      <c r="A17" s="4"/>
      <c r="B17" s="5"/>
      <c r="C17" s="5" t="s">
        <v>44</v>
      </c>
      <c r="D17" s="5"/>
      <c r="E17" s="5"/>
      <c r="F17" s="31">
        <f>'Calculation Sheet'!B71</f>
        <v>3327031.993670886</v>
      </c>
      <c r="G17" s="6"/>
    </row>
    <row r="18" spans="1:7" ht="12.75">
      <c r="A18" s="4"/>
      <c r="B18" s="5"/>
      <c r="C18" s="5" t="s">
        <v>141</v>
      </c>
      <c r="D18" s="5"/>
      <c r="E18" s="5"/>
      <c r="F18" s="31">
        <f>'Fat-Loss of Productivity'!F31</f>
        <v>10141250</v>
      </c>
      <c r="G18" s="6"/>
    </row>
    <row r="19" spans="1:7" ht="13.5" thickBot="1">
      <c r="A19" s="4"/>
      <c r="B19" s="22"/>
      <c r="C19" s="22" t="s">
        <v>152</v>
      </c>
      <c r="D19" s="22"/>
      <c r="E19" s="22"/>
      <c r="F19" s="35">
        <f>'Building Infrastructure'!F19</f>
        <v>291400</v>
      </c>
      <c r="G19" s="6"/>
    </row>
    <row r="20" spans="1:7" ht="13.5" thickTop="1">
      <c r="A20" s="4"/>
      <c r="B20" s="5" t="s">
        <v>153</v>
      </c>
      <c r="C20" s="5"/>
      <c r="D20" s="5"/>
      <c r="E20" s="5"/>
      <c r="F20" s="31">
        <f>SUM(F15:F19)</f>
        <v>18511043.099440116</v>
      </c>
      <c r="G20" s="6"/>
    </row>
    <row r="21" spans="1:7" ht="13.5" thickBot="1">
      <c r="A21" s="4"/>
      <c r="B21" s="5"/>
      <c r="C21" s="5"/>
      <c r="D21" s="5"/>
      <c r="E21" s="5"/>
      <c r="F21" s="31"/>
      <c r="G21" s="6"/>
    </row>
    <row r="22" spans="1:7" ht="14.25" thickBot="1" thickTop="1">
      <c r="A22" s="4"/>
      <c r="B22" s="37"/>
      <c r="C22" s="38"/>
      <c r="D22" s="38"/>
      <c r="E22" s="38"/>
      <c r="F22" s="39">
        <f>SUM(F20,F12)</f>
        <v>26759795.755690116</v>
      </c>
      <c r="G22" s="6"/>
    </row>
    <row r="23" spans="1:7" ht="13.5" thickTop="1">
      <c r="A23" s="4"/>
      <c r="B23" s="5"/>
      <c r="C23" s="5"/>
      <c r="D23" s="5"/>
      <c r="E23" s="5"/>
      <c r="F23" s="31"/>
      <c r="G23" s="6"/>
    </row>
    <row r="24" spans="1:7" ht="13.5" thickBot="1">
      <c r="A24" s="7"/>
      <c r="B24" s="8"/>
      <c r="C24" s="8"/>
      <c r="D24" s="8"/>
      <c r="E24" s="8"/>
      <c r="F24" s="50"/>
      <c r="G24" s="9"/>
    </row>
    <row r="25" ht="13.5" thickTop="1"/>
    <row r="29" spans="1:15" ht="12.75">
      <c r="A29" s="133"/>
      <c r="B29" s="133"/>
      <c r="C29" s="133"/>
      <c r="D29" s="133"/>
      <c r="E29" s="133"/>
      <c r="F29" s="133"/>
      <c r="G29" s="133"/>
      <c r="H29" s="133"/>
      <c r="I29" s="133"/>
      <c r="J29" s="133"/>
      <c r="K29" s="133"/>
      <c r="L29" s="133"/>
      <c r="M29" s="133"/>
      <c r="N29" s="133"/>
      <c r="O29" s="133"/>
    </row>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60">
      <c r="A32" s="134" t="s">
        <v>249</v>
      </c>
      <c r="B32" s="133"/>
      <c r="C32" s="133"/>
      <c r="D32" s="133"/>
      <c r="E32" s="133"/>
      <c r="F32" s="133"/>
      <c r="G32" s="133"/>
      <c r="H32" s="133"/>
      <c r="I32" s="133"/>
      <c r="J32" s="133"/>
      <c r="K32" s="133"/>
      <c r="L32" s="133"/>
      <c r="M32" s="133"/>
      <c r="N32" s="133"/>
      <c r="O32" s="133"/>
    </row>
    <row r="33" spans="1:15" ht="12.75">
      <c r="A33" s="133"/>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60">
      <c r="A40" s="134"/>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3"/>
      <c r="B51" s="133"/>
      <c r="C51" s="133"/>
      <c r="D51" s="134"/>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3.xml><?xml version="1.0" encoding="utf-8"?>
<worksheet xmlns="http://schemas.openxmlformats.org/spreadsheetml/2006/main" xmlns:r="http://schemas.openxmlformats.org/officeDocument/2006/relationships">
  <sheetPr codeName="Sheet1111">
    <pageSetUpPr fitToPage="1"/>
  </sheetPr>
  <dimension ref="A1:N63"/>
  <sheetViews>
    <sheetView showRowColHeaders="0" workbookViewId="0" topLeftCell="A1">
      <selection activeCell="A1" sqref="A1"/>
    </sheetView>
  </sheetViews>
  <sheetFormatPr defaultColWidth="9.140625" defaultRowHeight="12.75"/>
  <cols>
    <col min="6" max="6" width="17.28125" style="0" customWidth="1"/>
    <col min="7" max="7" width="15.8515625" style="0" customWidth="1"/>
    <col min="8" max="8" width="15.57421875" style="0" customWidth="1"/>
  </cols>
  <sheetData>
    <row r="1" spans="1:14" ht="12.75" customHeight="1">
      <c r="A1" s="305" t="s">
        <v>304</v>
      </c>
      <c r="B1" s="301"/>
      <c r="C1" s="301"/>
      <c r="D1" s="301"/>
      <c r="E1" s="301"/>
      <c r="F1" s="301"/>
      <c r="G1" s="301"/>
      <c r="H1" s="301"/>
      <c r="I1" s="301"/>
      <c r="J1" s="301"/>
      <c r="K1" s="301"/>
      <c r="L1" s="301"/>
      <c r="M1" s="301"/>
      <c r="N1" s="301"/>
    </row>
    <row r="2" spans="1:14" ht="12.75" customHeight="1" thickBot="1">
      <c r="A2" s="305"/>
      <c r="B2" s="301"/>
      <c r="C2" s="301"/>
      <c r="D2" s="301"/>
      <c r="E2" s="301"/>
      <c r="F2" s="301"/>
      <c r="G2" s="301"/>
      <c r="H2" s="301"/>
      <c r="I2" s="301"/>
      <c r="J2" s="301"/>
      <c r="K2" s="301"/>
      <c r="L2" s="301"/>
      <c r="M2" s="301"/>
      <c r="N2" s="301"/>
    </row>
    <row r="3" spans="1:14" ht="12.75" customHeight="1" thickTop="1">
      <c r="A3" s="301"/>
      <c r="B3" s="144" t="s">
        <v>568</v>
      </c>
      <c r="C3" s="3"/>
      <c r="D3" s="3"/>
      <c r="E3" s="3"/>
      <c r="F3" s="3"/>
      <c r="G3" s="3"/>
      <c r="H3" s="13"/>
      <c r="I3" s="301"/>
      <c r="J3" s="301"/>
      <c r="K3" s="301"/>
      <c r="L3" s="301"/>
      <c r="M3" s="301"/>
      <c r="N3" s="301"/>
    </row>
    <row r="4" spans="1:14" ht="12.75" customHeight="1">
      <c r="A4" s="301"/>
      <c r="B4" s="4"/>
      <c r="C4" s="5" t="s">
        <v>325</v>
      </c>
      <c r="D4" s="5"/>
      <c r="E4" s="5"/>
      <c r="F4" s="5"/>
      <c r="G4" s="5"/>
      <c r="H4" s="153">
        <v>500</v>
      </c>
      <c r="I4" s="301"/>
      <c r="J4" s="301"/>
      <c r="K4" s="301"/>
      <c r="L4" s="301"/>
      <c r="M4" s="301"/>
      <c r="N4" s="301"/>
    </row>
    <row r="5" spans="1:14" ht="12.75" customHeight="1">
      <c r="A5" s="301"/>
      <c r="B5" s="4"/>
      <c r="C5" s="59" t="s">
        <v>326</v>
      </c>
      <c r="D5" s="5"/>
      <c r="E5" s="5"/>
      <c r="F5" s="5"/>
      <c r="G5" s="5"/>
      <c r="H5" s="153">
        <v>250</v>
      </c>
      <c r="I5" s="301"/>
      <c r="J5" s="301"/>
      <c r="K5" s="301"/>
      <c r="L5" s="301"/>
      <c r="M5" s="301"/>
      <c r="N5" s="301"/>
    </row>
    <row r="6" spans="1:14" ht="12.75" customHeight="1">
      <c r="A6" s="301"/>
      <c r="B6" s="4"/>
      <c r="C6" s="5" t="s">
        <v>510</v>
      </c>
      <c r="D6" s="5"/>
      <c r="E6" s="5"/>
      <c r="F6" s="5"/>
      <c r="G6" s="5"/>
      <c r="H6" s="153">
        <v>50</v>
      </c>
      <c r="I6" s="301"/>
      <c r="J6" s="301"/>
      <c r="K6" s="301"/>
      <c r="L6" s="301"/>
      <c r="M6" s="301"/>
      <c r="N6" s="301"/>
    </row>
    <row r="7" spans="1:14" ht="12.75" customHeight="1">
      <c r="A7" s="301"/>
      <c r="B7" s="4"/>
      <c r="C7" s="5" t="s">
        <v>329</v>
      </c>
      <c r="D7" s="5"/>
      <c r="E7" s="5"/>
      <c r="F7" s="5"/>
      <c r="G7" s="5"/>
      <c r="H7" s="153">
        <v>4</v>
      </c>
      <c r="I7" s="301"/>
      <c r="J7" s="301"/>
      <c r="K7" s="301"/>
      <c r="L7" s="301"/>
      <c r="M7" s="301"/>
      <c r="N7" s="301"/>
    </row>
    <row r="8" spans="1:14" ht="12.75" customHeight="1">
      <c r="A8" s="301"/>
      <c r="B8" s="4"/>
      <c r="C8" s="5" t="s">
        <v>330</v>
      </c>
      <c r="D8" s="5"/>
      <c r="E8" s="5"/>
      <c r="F8" s="5"/>
      <c r="G8" s="5"/>
      <c r="H8" s="153">
        <v>4</v>
      </c>
      <c r="I8" s="301"/>
      <c r="J8" s="301"/>
      <c r="K8" s="301"/>
      <c r="L8" s="301"/>
      <c r="M8" s="301"/>
      <c r="N8" s="301"/>
    </row>
    <row r="9" spans="1:14" ht="12.75" customHeight="1">
      <c r="A9" s="301"/>
      <c r="B9" s="4"/>
      <c r="C9" s="5"/>
      <c r="D9" s="5"/>
      <c r="E9" s="5"/>
      <c r="F9" s="5"/>
      <c r="G9" s="5"/>
      <c r="H9" s="155"/>
      <c r="I9" s="301"/>
      <c r="J9" s="301"/>
      <c r="K9" s="301"/>
      <c r="L9" s="301"/>
      <c r="M9" s="301"/>
      <c r="N9" s="301"/>
    </row>
    <row r="10" spans="1:14" ht="12.75" customHeight="1">
      <c r="A10" s="301"/>
      <c r="B10" s="4"/>
      <c r="C10" s="5" t="s">
        <v>327</v>
      </c>
      <c r="D10" s="5"/>
      <c r="E10" s="5"/>
      <c r="F10" s="5"/>
      <c r="G10" s="5"/>
      <c r="H10" s="241">
        <v>250</v>
      </c>
      <c r="I10" s="301"/>
      <c r="J10" s="301"/>
      <c r="K10" s="301"/>
      <c r="L10" s="301"/>
      <c r="M10" s="301"/>
      <c r="N10" s="301"/>
    </row>
    <row r="11" spans="1:14" ht="12.75" customHeight="1">
      <c r="A11" s="301"/>
      <c r="B11" s="4"/>
      <c r="C11" s="5" t="s">
        <v>328</v>
      </c>
      <c r="D11" s="5"/>
      <c r="E11" s="5"/>
      <c r="F11" s="5"/>
      <c r="G11" s="5"/>
      <c r="H11" s="241">
        <v>1000</v>
      </c>
      <c r="I11" s="301"/>
      <c r="J11" s="301"/>
      <c r="K11" s="301"/>
      <c r="L11" s="301"/>
      <c r="M11" s="301"/>
      <c r="N11" s="301"/>
    </row>
    <row r="12" spans="1:14" ht="12.75" customHeight="1" thickBot="1">
      <c r="A12" s="301"/>
      <c r="B12" s="7"/>
      <c r="C12" s="8"/>
      <c r="D12" s="8"/>
      <c r="E12" s="8"/>
      <c r="F12" s="8"/>
      <c r="G12" s="8"/>
      <c r="H12" s="9"/>
      <c r="I12" s="301"/>
      <c r="J12" s="301"/>
      <c r="K12" s="301"/>
      <c r="L12" s="301"/>
      <c r="M12" s="301"/>
      <c r="N12" s="301"/>
    </row>
    <row r="13" spans="1:14" ht="12.75" customHeight="1" thickTop="1">
      <c r="A13" s="301"/>
      <c r="B13" s="58" t="s">
        <v>569</v>
      </c>
      <c r="C13" s="5"/>
      <c r="D13" s="5"/>
      <c r="E13" s="5"/>
      <c r="F13" s="5"/>
      <c r="G13" s="5"/>
      <c r="H13" s="6"/>
      <c r="I13" s="301"/>
      <c r="J13" s="301"/>
      <c r="K13" s="301"/>
      <c r="L13" s="301"/>
      <c r="M13" s="301"/>
      <c r="N13" s="301"/>
    </row>
    <row r="14" spans="1:14" ht="12.75" customHeight="1">
      <c r="A14" s="301"/>
      <c r="B14" s="4"/>
      <c r="C14" s="76" t="s">
        <v>307</v>
      </c>
      <c r="D14" s="5"/>
      <c r="E14" s="5"/>
      <c r="F14" s="5"/>
      <c r="G14" s="5"/>
      <c r="H14" s="241">
        <v>185</v>
      </c>
      <c r="I14" s="301"/>
      <c r="J14" s="301"/>
      <c r="K14" s="301"/>
      <c r="L14" s="301"/>
      <c r="M14" s="301"/>
      <c r="N14" s="301"/>
    </row>
    <row r="15" spans="1:14" ht="12.75" customHeight="1">
      <c r="A15" s="301"/>
      <c r="B15" s="4"/>
      <c r="C15" s="15" t="s">
        <v>308</v>
      </c>
      <c r="D15" s="5"/>
      <c r="E15" s="5"/>
      <c r="F15" s="5"/>
      <c r="G15" s="5"/>
      <c r="H15" s="154"/>
      <c r="I15" s="301"/>
      <c r="J15" s="301"/>
      <c r="K15" s="301"/>
      <c r="L15" s="301"/>
      <c r="M15" s="301"/>
      <c r="N15" s="301"/>
    </row>
    <row r="16" spans="1:14" ht="12.75" customHeight="1">
      <c r="A16" s="301"/>
      <c r="B16" s="4"/>
      <c r="C16" s="5"/>
      <c r="D16" s="5" t="s">
        <v>51</v>
      </c>
      <c r="E16" s="5"/>
      <c r="F16" s="5"/>
      <c r="G16" s="5"/>
      <c r="H16" s="153">
        <v>0</v>
      </c>
      <c r="I16" s="301"/>
      <c r="J16" s="301"/>
      <c r="K16" s="301"/>
      <c r="L16" s="301"/>
      <c r="M16" s="301"/>
      <c r="N16" s="301"/>
    </row>
    <row r="17" spans="1:14" ht="12.75" customHeight="1">
      <c r="A17" s="301"/>
      <c r="B17" s="4"/>
      <c r="C17" s="5"/>
      <c r="D17" s="5" t="s">
        <v>52</v>
      </c>
      <c r="E17" s="5"/>
      <c r="F17" s="5"/>
      <c r="G17" s="5"/>
      <c r="H17" s="153">
        <v>0</v>
      </c>
      <c r="I17" s="301"/>
      <c r="J17" s="301"/>
      <c r="K17" s="301"/>
      <c r="L17" s="301"/>
      <c r="M17" s="301"/>
      <c r="N17" s="301"/>
    </row>
    <row r="18" spans="1:14" ht="12.75" customHeight="1">
      <c r="A18" s="301"/>
      <c r="B18" s="4"/>
      <c r="C18" s="5"/>
      <c r="D18" s="5" t="s">
        <v>53</v>
      </c>
      <c r="E18" s="5"/>
      <c r="F18" s="5"/>
      <c r="G18" s="5"/>
      <c r="H18" s="153">
        <v>20</v>
      </c>
      <c r="I18" s="301"/>
      <c r="J18" s="301"/>
      <c r="K18" s="301"/>
      <c r="L18" s="301"/>
      <c r="M18" s="301"/>
      <c r="N18" s="301"/>
    </row>
    <row r="19" spans="1:14" ht="12.75" customHeight="1">
      <c r="A19" s="301"/>
      <c r="B19" s="4"/>
      <c r="C19" s="5"/>
      <c r="D19" s="5" t="s">
        <v>54</v>
      </c>
      <c r="E19" s="5"/>
      <c r="F19" s="5"/>
      <c r="G19" s="5"/>
      <c r="H19" s="153">
        <v>20</v>
      </c>
      <c r="I19" s="301"/>
      <c r="J19" s="301"/>
      <c r="K19" s="301"/>
      <c r="L19" s="301"/>
      <c r="M19" s="301"/>
      <c r="N19" s="301"/>
    </row>
    <row r="20" spans="1:14" ht="12.75" customHeight="1">
      <c r="A20" s="301"/>
      <c r="B20" s="4"/>
      <c r="C20" s="15" t="s">
        <v>309</v>
      </c>
      <c r="D20" s="5"/>
      <c r="E20" s="5"/>
      <c r="F20" s="5"/>
      <c r="G20" s="5"/>
      <c r="H20" s="156"/>
      <c r="I20" s="301"/>
      <c r="J20" s="301"/>
      <c r="K20" s="301"/>
      <c r="L20" s="301"/>
      <c r="M20" s="301"/>
      <c r="N20" s="301"/>
    </row>
    <row r="21" spans="1:14" ht="12.75" customHeight="1">
      <c r="A21" s="301"/>
      <c r="B21" s="4"/>
      <c r="C21" s="5"/>
      <c r="D21" s="5" t="s">
        <v>51</v>
      </c>
      <c r="E21" s="5"/>
      <c r="F21" s="5"/>
      <c r="G21" s="5"/>
      <c r="H21" s="153">
        <v>0</v>
      </c>
      <c r="I21" s="301"/>
      <c r="J21" s="301"/>
      <c r="K21" s="301"/>
      <c r="L21" s="301"/>
      <c r="M21" s="301"/>
      <c r="N21" s="301"/>
    </row>
    <row r="22" spans="1:14" ht="12.75" customHeight="1">
      <c r="A22" s="301"/>
      <c r="B22" s="4"/>
      <c r="C22" s="5"/>
      <c r="D22" s="5" t="s">
        <v>52</v>
      </c>
      <c r="E22" s="5"/>
      <c r="F22" s="5"/>
      <c r="G22" s="5"/>
      <c r="H22" s="153">
        <v>0</v>
      </c>
      <c r="I22" s="301"/>
      <c r="J22" s="301"/>
      <c r="K22" s="301"/>
      <c r="L22" s="301"/>
      <c r="M22" s="301"/>
      <c r="N22" s="301"/>
    </row>
    <row r="23" spans="1:14" ht="12.75" customHeight="1">
      <c r="A23" s="301"/>
      <c r="B23" s="4"/>
      <c r="C23" s="5"/>
      <c r="D23" s="5" t="s">
        <v>53</v>
      </c>
      <c r="E23" s="5"/>
      <c r="F23" s="5"/>
      <c r="G23" s="5"/>
      <c r="H23" s="153">
        <v>0</v>
      </c>
      <c r="I23" s="301"/>
      <c r="J23" s="301"/>
      <c r="K23" s="301"/>
      <c r="L23" s="301"/>
      <c r="M23" s="301"/>
      <c r="N23" s="301"/>
    </row>
    <row r="24" spans="1:14" ht="12.75" customHeight="1">
      <c r="A24" s="301"/>
      <c r="B24" s="4"/>
      <c r="C24" s="5"/>
      <c r="D24" s="5" t="s">
        <v>54</v>
      </c>
      <c r="E24" s="5"/>
      <c r="F24" s="5"/>
      <c r="G24" s="5"/>
      <c r="H24" s="153">
        <v>0</v>
      </c>
      <c r="I24" s="301"/>
      <c r="J24" s="301"/>
      <c r="K24" s="301"/>
      <c r="L24" s="301"/>
      <c r="M24" s="301"/>
      <c r="N24" s="301"/>
    </row>
    <row r="25" spans="1:14" ht="12.75" customHeight="1">
      <c r="A25" s="301"/>
      <c r="B25" s="4"/>
      <c r="C25" s="5"/>
      <c r="D25" s="5"/>
      <c r="E25" s="5"/>
      <c r="F25" s="5"/>
      <c r="G25" s="5"/>
      <c r="H25" s="155"/>
      <c r="I25" s="301"/>
      <c r="J25" s="301"/>
      <c r="K25" s="301"/>
      <c r="L25" s="301"/>
      <c r="M25" s="301"/>
      <c r="N25" s="301"/>
    </row>
    <row r="26" spans="1:14" ht="12.75" customHeight="1">
      <c r="A26" s="301"/>
      <c r="B26" s="4"/>
      <c r="C26" s="15" t="s">
        <v>610</v>
      </c>
      <c r="D26" s="5"/>
      <c r="E26" s="5"/>
      <c r="F26" s="5"/>
      <c r="G26" s="5"/>
      <c r="H26" s="155"/>
      <c r="I26" s="301"/>
      <c r="J26" s="301"/>
      <c r="K26" s="301"/>
      <c r="L26" s="301"/>
      <c r="M26" s="301"/>
      <c r="N26" s="301"/>
    </row>
    <row r="27" spans="1:14" ht="12.75" customHeight="1">
      <c r="A27" s="301"/>
      <c r="B27" s="4"/>
      <c r="C27" s="5"/>
      <c r="D27" s="5" t="s">
        <v>55</v>
      </c>
      <c r="E27" s="5"/>
      <c r="F27" s="5"/>
      <c r="G27" s="5"/>
      <c r="H27" s="241">
        <v>0</v>
      </c>
      <c r="I27" s="301"/>
      <c r="J27" s="301"/>
      <c r="K27" s="301"/>
      <c r="L27" s="301"/>
      <c r="M27" s="301"/>
      <c r="N27" s="301"/>
    </row>
    <row r="28" spans="1:14" ht="12.75" customHeight="1">
      <c r="A28" s="301"/>
      <c r="B28" s="4"/>
      <c r="C28" s="5"/>
      <c r="D28" s="5" t="s">
        <v>56</v>
      </c>
      <c r="E28" s="5"/>
      <c r="F28" s="5"/>
      <c r="G28" s="5"/>
      <c r="H28" s="241">
        <v>0</v>
      </c>
      <c r="I28" s="301"/>
      <c r="J28" s="301"/>
      <c r="K28" s="301"/>
      <c r="L28" s="301"/>
      <c r="M28" s="301"/>
      <c r="N28" s="301"/>
    </row>
    <row r="29" spans="1:14" ht="12.75" customHeight="1">
      <c r="A29" s="301"/>
      <c r="B29" s="4"/>
      <c r="C29" s="5"/>
      <c r="D29" s="5" t="s">
        <v>57</v>
      </c>
      <c r="E29" s="5"/>
      <c r="F29" s="5"/>
      <c r="G29" s="5"/>
      <c r="H29" s="241">
        <v>10000</v>
      </c>
      <c r="I29" s="301"/>
      <c r="J29" s="301"/>
      <c r="K29" s="301"/>
      <c r="L29" s="301"/>
      <c r="M29" s="301"/>
      <c r="N29" s="301"/>
    </row>
    <row r="30" spans="1:14" ht="12.75" customHeight="1">
      <c r="A30" s="301"/>
      <c r="B30" s="4"/>
      <c r="C30" s="5"/>
      <c r="D30" s="5" t="s">
        <v>59</v>
      </c>
      <c r="E30" s="5"/>
      <c r="F30" s="5"/>
      <c r="G30" s="5"/>
      <c r="H30" s="241">
        <v>10000</v>
      </c>
      <c r="I30" s="301"/>
      <c r="J30" s="301"/>
      <c r="K30" s="301"/>
      <c r="L30" s="301"/>
      <c r="M30" s="301"/>
      <c r="N30" s="301"/>
    </row>
    <row r="31" spans="1:14" ht="12.75" customHeight="1">
      <c r="A31" s="301"/>
      <c r="B31" s="4"/>
      <c r="C31" s="5"/>
      <c r="D31" s="5" t="s">
        <v>44</v>
      </c>
      <c r="E31" s="5"/>
      <c r="F31" s="5"/>
      <c r="G31" s="5"/>
      <c r="H31" s="241">
        <v>10000</v>
      </c>
      <c r="I31" s="301"/>
      <c r="J31" s="301"/>
      <c r="K31" s="301"/>
      <c r="L31" s="301"/>
      <c r="M31" s="301"/>
      <c r="N31" s="301"/>
    </row>
    <row r="32" spans="1:14" ht="12.75" customHeight="1" thickBot="1">
      <c r="A32" s="301"/>
      <c r="B32" s="7"/>
      <c r="C32" s="8"/>
      <c r="D32" s="8"/>
      <c r="E32" s="8"/>
      <c r="F32" s="8"/>
      <c r="G32" s="8"/>
      <c r="H32" s="9"/>
      <c r="I32" s="301"/>
      <c r="J32" s="301"/>
      <c r="K32" s="301"/>
      <c r="L32" s="301"/>
      <c r="M32" s="301"/>
      <c r="N32" s="301"/>
    </row>
    <row r="33" spans="1:14" ht="12.75" customHeight="1" thickTop="1">
      <c r="A33" s="301"/>
      <c r="B33" s="58" t="s">
        <v>609</v>
      </c>
      <c r="C33" s="5"/>
      <c r="D33" s="5"/>
      <c r="E33" s="5"/>
      <c r="F33" s="5"/>
      <c r="G33" s="5"/>
      <c r="H33" s="6"/>
      <c r="I33" s="301"/>
      <c r="J33" s="301"/>
      <c r="K33" s="301"/>
      <c r="L33" s="301"/>
      <c r="M33" s="301"/>
      <c r="N33" s="301"/>
    </row>
    <row r="34" spans="1:14" ht="12.75" customHeight="1">
      <c r="A34" s="301"/>
      <c r="B34" s="4"/>
      <c r="C34" s="15" t="s">
        <v>611</v>
      </c>
      <c r="D34" s="5"/>
      <c r="E34" s="5"/>
      <c r="F34" s="5"/>
      <c r="G34" s="165" t="s">
        <v>319</v>
      </c>
      <c r="H34" s="145" t="s">
        <v>248</v>
      </c>
      <c r="I34" s="301"/>
      <c r="J34" s="301"/>
      <c r="K34" s="301"/>
      <c r="L34" s="301"/>
      <c r="M34" s="301"/>
      <c r="N34" s="301"/>
    </row>
    <row r="35" spans="1:14" ht="12.75" customHeight="1">
      <c r="A35" s="301"/>
      <c r="B35" s="4"/>
      <c r="C35" s="5"/>
      <c r="D35" s="5" t="s">
        <v>133</v>
      </c>
      <c r="E35" s="5"/>
      <c r="F35" s="5"/>
      <c r="G35" s="88">
        <v>2</v>
      </c>
      <c r="H35" s="241">
        <v>40000</v>
      </c>
      <c r="I35" s="301"/>
      <c r="J35" s="301"/>
      <c r="K35" s="301"/>
      <c r="L35" s="301"/>
      <c r="M35" s="301"/>
      <c r="N35" s="301"/>
    </row>
    <row r="36" spans="1:14" ht="12.75" customHeight="1">
      <c r="A36" s="301"/>
      <c r="B36" s="4"/>
      <c r="C36" s="5"/>
      <c r="D36" s="5" t="s">
        <v>169</v>
      </c>
      <c r="E36" s="5"/>
      <c r="F36" s="5"/>
      <c r="G36" s="5"/>
      <c r="H36" s="241">
        <v>0</v>
      </c>
      <c r="I36" s="301"/>
      <c r="J36" s="301"/>
      <c r="K36" s="301"/>
      <c r="L36" s="301"/>
      <c r="M36" s="301"/>
      <c r="N36" s="301"/>
    </row>
    <row r="37" spans="1:14" ht="12.75" customHeight="1">
      <c r="A37" s="301"/>
      <c r="B37" s="4"/>
      <c r="C37" s="15" t="s">
        <v>612</v>
      </c>
      <c r="D37" s="5"/>
      <c r="E37" s="5"/>
      <c r="F37" s="5"/>
      <c r="G37" s="5"/>
      <c r="H37" s="164" t="s">
        <v>261</v>
      </c>
      <c r="I37" s="301"/>
      <c r="J37" s="301"/>
      <c r="K37" s="301"/>
      <c r="L37" s="301"/>
      <c r="M37" s="301"/>
      <c r="N37" s="301"/>
    </row>
    <row r="38" spans="1:14" ht="12.75" customHeight="1">
      <c r="A38" s="301"/>
      <c r="B38" s="4"/>
      <c r="C38" s="5"/>
      <c r="D38" s="5" t="s">
        <v>144</v>
      </c>
      <c r="E38" s="5"/>
      <c r="F38" s="143"/>
      <c r="G38" s="5"/>
      <c r="H38" s="241">
        <v>15000</v>
      </c>
      <c r="I38" s="301"/>
      <c r="J38" s="301"/>
      <c r="K38" s="301"/>
      <c r="L38" s="301"/>
      <c r="M38" s="301"/>
      <c r="N38" s="301"/>
    </row>
    <row r="39" spans="1:14" ht="12.75" customHeight="1">
      <c r="A39" s="301"/>
      <c r="B39" s="4"/>
      <c r="C39" s="5"/>
      <c r="D39" s="5" t="s">
        <v>260</v>
      </c>
      <c r="E39" s="5"/>
      <c r="F39" s="5"/>
      <c r="G39" s="5"/>
      <c r="H39" s="241">
        <v>5000</v>
      </c>
      <c r="I39" s="301"/>
      <c r="J39" s="301"/>
      <c r="K39" s="301"/>
      <c r="L39" s="301"/>
      <c r="M39" s="301"/>
      <c r="N39" s="301"/>
    </row>
    <row r="40" spans="1:14" ht="12.75" customHeight="1">
      <c r="A40" s="301"/>
      <c r="B40" s="4"/>
      <c r="C40" s="5"/>
      <c r="D40" s="5" t="s">
        <v>258</v>
      </c>
      <c r="E40" s="5"/>
      <c r="F40" s="95"/>
      <c r="G40" s="5"/>
      <c r="H40" s="241">
        <v>5000</v>
      </c>
      <c r="I40" s="301"/>
      <c r="J40" s="301"/>
      <c r="K40" s="301"/>
      <c r="L40" s="301"/>
      <c r="M40" s="301"/>
      <c r="N40" s="301"/>
    </row>
    <row r="41" spans="1:14" ht="12.75" customHeight="1">
      <c r="A41" s="301"/>
      <c r="B41" s="4"/>
      <c r="C41" s="5"/>
      <c r="D41" s="5" t="s">
        <v>259</v>
      </c>
      <c r="E41" s="5"/>
      <c r="F41" s="31"/>
      <c r="G41" s="5"/>
      <c r="H41" s="241">
        <v>0</v>
      </c>
      <c r="I41" s="301"/>
      <c r="J41" s="301"/>
      <c r="K41" s="301"/>
      <c r="L41" s="301"/>
      <c r="M41" s="301"/>
      <c r="N41" s="301"/>
    </row>
    <row r="42" spans="1:14" ht="12.75" customHeight="1">
      <c r="A42" s="301"/>
      <c r="B42" s="4"/>
      <c r="C42" s="5"/>
      <c r="D42" s="5" t="s">
        <v>145</v>
      </c>
      <c r="E42" s="5"/>
      <c r="F42" s="31"/>
      <c r="G42" s="5"/>
      <c r="H42" s="241">
        <v>10000</v>
      </c>
      <c r="I42" s="301"/>
      <c r="J42" s="301"/>
      <c r="K42" s="301"/>
      <c r="L42" s="301"/>
      <c r="M42" s="301"/>
      <c r="N42" s="301"/>
    </row>
    <row r="43" spans="1:14" ht="12.75" customHeight="1" thickBot="1">
      <c r="A43" s="301"/>
      <c r="B43" s="7"/>
      <c r="C43" s="8"/>
      <c r="D43" s="8" t="s">
        <v>146</v>
      </c>
      <c r="E43" s="8"/>
      <c r="F43" s="8"/>
      <c r="G43" s="8"/>
      <c r="H43" s="242">
        <v>150000</v>
      </c>
      <c r="I43" s="301"/>
      <c r="J43" s="301"/>
      <c r="K43" s="301"/>
      <c r="L43" s="301"/>
      <c r="M43" s="301"/>
      <c r="N43" s="301"/>
    </row>
    <row r="44" spans="1:14" ht="12.75" customHeight="1" thickTop="1">
      <c r="A44" s="301"/>
      <c r="B44" s="2"/>
      <c r="C44" s="3"/>
      <c r="D44" s="3"/>
      <c r="E44" s="3"/>
      <c r="F44" s="3"/>
      <c r="G44" s="3"/>
      <c r="H44" s="13"/>
      <c r="I44" s="301"/>
      <c r="J44" s="301"/>
      <c r="K44" s="301"/>
      <c r="L44" s="301"/>
      <c r="M44" s="301"/>
      <c r="N44" s="301"/>
    </row>
    <row r="45" spans="1:14" ht="12.75" customHeight="1">
      <c r="A45" s="301"/>
      <c r="B45" s="4"/>
      <c r="C45" s="5"/>
      <c r="D45" s="5"/>
      <c r="E45" s="5"/>
      <c r="F45" s="5"/>
      <c r="G45" s="5"/>
      <c r="H45" s="6"/>
      <c r="I45" s="301"/>
      <c r="J45" s="301"/>
      <c r="K45" s="301"/>
      <c r="L45" s="301"/>
      <c r="M45" s="301"/>
      <c r="N45" s="301"/>
    </row>
    <row r="46" spans="1:14" ht="12.75" customHeight="1">
      <c r="A46" s="301"/>
      <c r="B46" s="4"/>
      <c r="C46" s="5"/>
      <c r="D46" s="5"/>
      <c r="E46" s="5"/>
      <c r="F46" s="5"/>
      <c r="G46" s="5"/>
      <c r="H46" s="6"/>
      <c r="I46" s="301"/>
      <c r="J46" s="301"/>
      <c r="K46" s="301"/>
      <c r="L46" s="301"/>
      <c r="M46" s="301"/>
      <c r="N46" s="301"/>
    </row>
    <row r="47" spans="1:14" ht="12.75">
      <c r="A47" s="301"/>
      <c r="B47" s="4"/>
      <c r="C47" s="5"/>
      <c r="D47" s="5"/>
      <c r="E47" s="5"/>
      <c r="F47" s="5"/>
      <c r="G47" s="5"/>
      <c r="H47" s="6"/>
      <c r="I47" s="301"/>
      <c r="J47" s="301"/>
      <c r="K47" s="301"/>
      <c r="L47" s="301"/>
      <c r="M47" s="301"/>
      <c r="N47" s="301"/>
    </row>
    <row r="48" spans="1:14" ht="12.75">
      <c r="A48" s="301"/>
      <c r="B48" s="4"/>
      <c r="C48" s="5"/>
      <c r="D48" s="5"/>
      <c r="E48" s="5"/>
      <c r="F48" s="5"/>
      <c r="G48" s="5"/>
      <c r="H48" s="6"/>
      <c r="I48" s="301"/>
      <c r="J48" s="301"/>
      <c r="K48" s="301"/>
      <c r="L48" s="301"/>
      <c r="M48" s="301"/>
      <c r="N48" s="301"/>
    </row>
    <row r="49" spans="1:14" ht="13.5" thickBot="1">
      <c r="A49" s="301"/>
      <c r="B49" s="7"/>
      <c r="C49" s="8"/>
      <c r="D49" s="8"/>
      <c r="E49" s="8"/>
      <c r="F49" s="8"/>
      <c r="G49" s="8"/>
      <c r="H49" s="9"/>
      <c r="I49" s="301"/>
      <c r="J49" s="301"/>
      <c r="K49" s="301"/>
      <c r="L49" s="301"/>
      <c r="M49" s="301"/>
      <c r="N49" s="301"/>
    </row>
    <row r="50" spans="1:14" ht="13.5" thickTop="1">
      <c r="A50" s="301"/>
      <c r="B50" s="301"/>
      <c r="C50" s="301"/>
      <c r="D50" s="301"/>
      <c r="E50" s="301"/>
      <c r="F50" s="301"/>
      <c r="G50" s="301"/>
      <c r="H50" s="301"/>
      <c r="I50" s="301"/>
      <c r="J50" s="301"/>
      <c r="K50" s="301"/>
      <c r="L50" s="301"/>
      <c r="M50" s="301"/>
      <c r="N50" s="301"/>
    </row>
    <row r="51" spans="1:14" ht="12.75">
      <c r="A51" s="301"/>
      <c r="B51" s="301"/>
      <c r="C51" s="301"/>
      <c r="D51" s="301"/>
      <c r="E51" s="301"/>
      <c r="F51" s="301"/>
      <c r="G51" s="301"/>
      <c r="H51" s="301"/>
      <c r="I51" s="301"/>
      <c r="J51" s="301"/>
      <c r="K51" s="301"/>
      <c r="L51" s="301"/>
      <c r="M51" s="301"/>
      <c r="N51" s="301"/>
    </row>
    <row r="52" spans="1:14" ht="12.75">
      <c r="A52" s="301"/>
      <c r="B52" s="301"/>
      <c r="C52" s="301"/>
      <c r="D52" s="301"/>
      <c r="E52" s="301"/>
      <c r="F52" s="301"/>
      <c r="G52" s="301"/>
      <c r="H52" s="301"/>
      <c r="I52" s="301"/>
      <c r="J52" s="301"/>
      <c r="K52" s="301"/>
      <c r="L52" s="301"/>
      <c r="M52" s="301"/>
      <c r="N52" s="301"/>
    </row>
    <row r="53" spans="1:14" ht="12.75">
      <c r="A53" s="301"/>
      <c r="B53" s="301"/>
      <c r="C53" s="301"/>
      <c r="D53" s="301"/>
      <c r="E53" s="301"/>
      <c r="F53" s="301"/>
      <c r="G53" s="301"/>
      <c r="H53" s="301"/>
      <c r="I53" s="301"/>
      <c r="J53" s="301"/>
      <c r="K53" s="301"/>
      <c r="L53" s="301"/>
      <c r="M53" s="301"/>
      <c r="N53" s="301"/>
    </row>
    <row r="54" spans="1:14" ht="12.75">
      <c r="A54" s="301"/>
      <c r="B54" s="301"/>
      <c r="C54" s="301"/>
      <c r="D54" s="301"/>
      <c r="E54" s="301"/>
      <c r="F54" s="301"/>
      <c r="G54" s="301"/>
      <c r="H54" s="301"/>
      <c r="I54" s="301"/>
      <c r="J54" s="301"/>
      <c r="K54" s="301"/>
      <c r="L54" s="301"/>
      <c r="M54" s="301"/>
      <c r="N54" s="301"/>
    </row>
    <row r="55" spans="1:14" ht="12.75">
      <c r="A55" s="301"/>
      <c r="B55" s="301"/>
      <c r="C55" s="301"/>
      <c r="D55" s="301"/>
      <c r="E55" s="301"/>
      <c r="F55" s="301"/>
      <c r="G55" s="301"/>
      <c r="H55" s="301"/>
      <c r="I55" s="301"/>
      <c r="J55" s="301"/>
      <c r="K55" s="301"/>
      <c r="L55" s="301"/>
      <c r="M55" s="301"/>
      <c r="N55" s="301"/>
    </row>
    <row r="56" spans="1:14" ht="12.75">
      <c r="A56" s="301"/>
      <c r="B56" s="301"/>
      <c r="C56" s="301"/>
      <c r="D56" s="301"/>
      <c r="E56" s="301"/>
      <c r="F56" s="301"/>
      <c r="G56" s="301"/>
      <c r="H56" s="301"/>
      <c r="I56" s="301"/>
      <c r="J56" s="301"/>
      <c r="K56" s="301"/>
      <c r="L56" s="301"/>
      <c r="M56" s="301"/>
      <c r="N56" s="301"/>
    </row>
    <row r="57" spans="1:14" ht="12.75">
      <c r="A57" s="301"/>
      <c r="B57" s="301"/>
      <c r="C57" s="301"/>
      <c r="D57" s="301"/>
      <c r="E57" s="301"/>
      <c r="F57" s="301"/>
      <c r="G57" s="301"/>
      <c r="H57" s="301"/>
      <c r="I57" s="301"/>
      <c r="J57" s="301"/>
      <c r="K57" s="301"/>
      <c r="L57" s="301"/>
      <c r="M57" s="301"/>
      <c r="N57" s="301"/>
    </row>
    <row r="58" spans="1:14" ht="12.75">
      <c r="A58" s="301"/>
      <c r="B58" s="301"/>
      <c r="C58" s="301"/>
      <c r="D58" s="301"/>
      <c r="E58" s="301"/>
      <c r="F58" s="301"/>
      <c r="G58" s="301"/>
      <c r="H58" s="301"/>
      <c r="I58" s="301"/>
      <c r="J58" s="301"/>
      <c r="K58" s="301"/>
      <c r="L58" s="301"/>
      <c r="M58" s="301"/>
      <c r="N58" s="301"/>
    </row>
    <row r="59" spans="1:14" ht="12.75">
      <c r="A59" s="301"/>
      <c r="B59" s="301"/>
      <c r="C59" s="301"/>
      <c r="D59" s="301"/>
      <c r="E59" s="301"/>
      <c r="F59" s="301"/>
      <c r="G59" s="301"/>
      <c r="H59" s="301"/>
      <c r="I59" s="301"/>
      <c r="J59" s="301"/>
      <c r="K59" s="301"/>
      <c r="L59" s="301"/>
      <c r="M59" s="301"/>
      <c r="N59" s="301"/>
    </row>
    <row r="60" spans="1:14" ht="12.75">
      <c r="A60" s="301"/>
      <c r="B60" s="301"/>
      <c r="C60" s="301"/>
      <c r="D60" s="301"/>
      <c r="E60" s="301"/>
      <c r="F60" s="301"/>
      <c r="G60" s="301"/>
      <c r="H60" s="301"/>
      <c r="I60" s="301"/>
      <c r="J60" s="301"/>
      <c r="K60" s="301"/>
      <c r="L60" s="301"/>
      <c r="M60" s="301"/>
      <c r="N60" s="301"/>
    </row>
    <row r="61" spans="1:14" ht="12.75">
      <c r="A61" s="301"/>
      <c r="B61" s="301"/>
      <c r="C61" s="301"/>
      <c r="D61" s="301"/>
      <c r="E61" s="301"/>
      <c r="F61" s="301"/>
      <c r="G61" s="301"/>
      <c r="H61" s="301"/>
      <c r="I61" s="301"/>
      <c r="J61" s="301"/>
      <c r="K61" s="301"/>
      <c r="L61" s="301"/>
      <c r="M61" s="301"/>
      <c r="N61" s="301"/>
    </row>
    <row r="62" spans="1:14" ht="12.75">
      <c r="A62" s="301"/>
      <c r="B62" s="301"/>
      <c r="C62" s="301"/>
      <c r="D62" s="301"/>
      <c r="E62" s="301"/>
      <c r="F62" s="301"/>
      <c r="G62" s="301"/>
      <c r="H62" s="301"/>
      <c r="I62" s="301"/>
      <c r="J62" s="301"/>
      <c r="K62" s="301"/>
      <c r="L62" s="301"/>
      <c r="M62" s="301"/>
      <c r="N62" s="301"/>
    </row>
    <row r="63" spans="11:14" ht="12.75">
      <c r="K63" s="301"/>
      <c r="L63" s="301"/>
      <c r="M63" s="301"/>
      <c r="N63" s="301"/>
    </row>
  </sheetData>
  <sheetProtection password="D387" sheet="1" objects="1" scenarios="1"/>
  <printOptions/>
  <pageMargins left="0.75" right="0.75" top="1" bottom="1" header="0.5" footer="0.5"/>
  <pageSetup fitToHeight="1" fitToWidth="1" horizontalDpi="600" verticalDpi="600" orientation="portrait" scale="87" r:id="rId3"/>
  <headerFooter alignWithMargins="0">
    <oddHeader>&amp;CTotal Cost of Application Ownership (TCA) Calculator</oddHeader>
    <oddFooter>&amp;LThe Tolly Group TCA Calculator
&amp;P&amp;D&amp;T&amp;R© The Tolly Group, 1999</oddFooter>
  </headerFooter>
  <legacyDrawing r:id="rId2"/>
</worksheet>
</file>

<file path=xl/worksheets/sheet30.xml><?xml version="1.0" encoding="utf-8"?>
<worksheet xmlns="http://schemas.openxmlformats.org/spreadsheetml/2006/main" xmlns:r="http://schemas.openxmlformats.org/officeDocument/2006/relationships">
  <sheetPr codeName="Sheet21">
    <pageSetUpPr fitToPage="1"/>
  </sheetPr>
  <dimension ref="A1:O104"/>
  <sheetViews>
    <sheetView workbookViewId="0" topLeftCell="A65">
      <selection activeCell="A60" sqref="A60"/>
    </sheetView>
  </sheetViews>
  <sheetFormatPr defaultColWidth="9.140625" defaultRowHeight="12.75"/>
  <cols>
    <col min="5" max="5" width="22.57421875" style="0" customWidth="1"/>
    <col min="6" max="6" width="18.28125" style="0" customWidth="1"/>
    <col min="7" max="7" width="19.00390625" style="0" customWidth="1"/>
  </cols>
  <sheetData>
    <row r="1" ht="15.75">
      <c r="A1" s="1" t="s">
        <v>395</v>
      </c>
    </row>
    <row r="2" ht="13.5" thickBot="1"/>
    <row r="3" spans="2:7" ht="13.5" thickTop="1">
      <c r="B3" s="2"/>
      <c r="C3" s="3"/>
      <c r="D3" s="3"/>
      <c r="E3" s="3"/>
      <c r="F3" s="3"/>
      <c r="G3" s="13"/>
    </row>
    <row r="4" spans="2:7" ht="15.75">
      <c r="B4" s="14" t="s">
        <v>396</v>
      </c>
      <c r="C4" s="5"/>
      <c r="D4" s="5"/>
      <c r="E4" s="5"/>
      <c r="F4" s="5"/>
      <c r="G4" s="6"/>
    </row>
    <row r="5" spans="2:7" ht="12.75">
      <c r="B5" s="4"/>
      <c r="C5" s="5"/>
      <c r="D5" s="5"/>
      <c r="E5" s="5"/>
      <c r="F5" s="5"/>
      <c r="G5" s="6"/>
    </row>
    <row r="6" spans="2:7" ht="12.75">
      <c r="B6" s="4"/>
      <c r="C6" s="16" t="s">
        <v>193</v>
      </c>
      <c r="D6" s="5"/>
      <c r="E6" s="5"/>
      <c r="F6" s="5">
        <f>'Calculation Sheet'!B29</f>
        <v>35</v>
      </c>
      <c r="G6" s="6"/>
    </row>
    <row r="7" spans="2:7" ht="12.75">
      <c r="B7" s="4"/>
      <c r="C7" s="15"/>
      <c r="D7" s="5"/>
      <c r="E7" s="5"/>
      <c r="F7" s="5"/>
      <c r="G7" s="6"/>
    </row>
    <row r="8" spans="2:7" ht="12.75">
      <c r="B8" s="4"/>
      <c r="C8" s="5"/>
      <c r="D8" s="5"/>
      <c r="E8" s="5"/>
      <c r="F8" s="5" t="s">
        <v>157</v>
      </c>
      <c r="G8" s="6" t="s">
        <v>26</v>
      </c>
    </row>
    <row r="9" spans="2:7" ht="12.75">
      <c r="B9" s="4"/>
      <c r="C9" s="5"/>
      <c r="D9" s="5"/>
      <c r="E9" s="5"/>
      <c r="F9" s="5"/>
      <c r="G9" s="6"/>
    </row>
    <row r="10" spans="2:7" ht="12.75">
      <c r="B10" s="4"/>
      <c r="C10" s="5"/>
      <c r="D10" s="16" t="s">
        <v>27</v>
      </c>
      <c r="E10" s="17"/>
      <c r="F10" s="20">
        <f>'FatClient Base Data'!F10</f>
        <v>55000</v>
      </c>
      <c r="G10" s="18">
        <f>(F10*F22+F10)/52/F6</f>
        <v>40.19230769230769</v>
      </c>
    </row>
    <row r="11" spans="2:7" ht="12.75">
      <c r="B11" s="4"/>
      <c r="C11" s="5"/>
      <c r="D11" s="16" t="s">
        <v>28</v>
      </c>
      <c r="E11" s="17"/>
      <c r="F11" s="20">
        <f>'FatClient Base Data'!F11</f>
        <v>45000</v>
      </c>
      <c r="G11" s="18">
        <f>(F11*F22+F11)/52/F6</f>
        <v>32.88461538461539</v>
      </c>
    </row>
    <row r="12" spans="2:7" ht="12.75">
      <c r="B12" s="4"/>
      <c r="C12" s="5"/>
      <c r="D12" s="16" t="s">
        <v>29</v>
      </c>
      <c r="E12" s="17"/>
      <c r="F12" s="20">
        <f>'FatClient Base Data'!F12</f>
        <v>65000</v>
      </c>
      <c r="G12" s="18">
        <f>(F12*F22+F12)/52/F6</f>
        <v>47.5</v>
      </c>
    </row>
    <row r="13" spans="2:7" ht="12.75">
      <c r="B13" s="4"/>
      <c r="C13" s="5"/>
      <c r="D13" s="19" t="s">
        <v>30</v>
      </c>
      <c r="E13" s="17"/>
      <c r="F13" s="20">
        <f>'FatClient Base Data'!F13</f>
        <v>80000</v>
      </c>
      <c r="G13" s="18">
        <f>(F13*F22+F13)/52/F6</f>
        <v>58.46153846153846</v>
      </c>
    </row>
    <row r="14" spans="2:7" ht="12.75">
      <c r="B14" s="4"/>
      <c r="C14" s="5"/>
      <c r="D14" s="16" t="s">
        <v>31</v>
      </c>
      <c r="E14" s="17"/>
      <c r="F14" s="20">
        <f>'FatClient Base Data'!F14</f>
        <v>65000</v>
      </c>
      <c r="G14" s="18">
        <f>(F14*F22+F14)/52/F6</f>
        <v>47.5</v>
      </c>
    </row>
    <row r="15" spans="2:7" ht="12.75">
      <c r="B15" s="4"/>
      <c r="C15" s="5"/>
      <c r="D15" s="16" t="s">
        <v>32</v>
      </c>
      <c r="E15" s="17"/>
      <c r="F15" s="20">
        <f>'FatClient Base Data'!F15</f>
        <v>80000</v>
      </c>
      <c r="G15" s="18">
        <f>(F15*F22+F15)/52/F6</f>
        <v>58.46153846153846</v>
      </c>
    </row>
    <row r="16" spans="2:7" ht="12.75">
      <c r="B16" s="4"/>
      <c r="C16" s="5"/>
      <c r="D16" s="16" t="s">
        <v>33</v>
      </c>
      <c r="E16" s="17"/>
      <c r="F16" s="20">
        <f>'FatClient Base Data'!F16</f>
        <v>68500</v>
      </c>
      <c r="G16" s="18">
        <f>(F16*F22+F16)/52/F6</f>
        <v>50.05769230769231</v>
      </c>
    </row>
    <row r="17" spans="2:7" ht="12.75">
      <c r="B17" s="4"/>
      <c r="C17" s="5"/>
      <c r="D17" s="16" t="s">
        <v>289</v>
      </c>
      <c r="E17" s="17"/>
      <c r="F17" s="20">
        <f>'FatClient Base Data'!F17</f>
        <v>52000</v>
      </c>
      <c r="G17" s="18">
        <f>(F17*F22+F17)/52/F6</f>
        <v>38</v>
      </c>
    </row>
    <row r="18" spans="2:7" ht="12.75">
      <c r="B18" s="4"/>
      <c r="C18" s="5"/>
      <c r="D18" s="16" t="s">
        <v>290</v>
      </c>
      <c r="E18" s="17"/>
      <c r="F18" s="20">
        <f>'FatClient Base Data'!F18</f>
        <v>75000</v>
      </c>
      <c r="G18" s="18">
        <f>(F18*F22+F18)/52/F6</f>
        <v>54.80769230769231</v>
      </c>
    </row>
    <row r="19" spans="2:7" ht="12.75">
      <c r="B19" s="4"/>
      <c r="C19" s="5"/>
      <c r="D19" s="16" t="s">
        <v>291</v>
      </c>
      <c r="E19" s="17"/>
      <c r="F19" s="20">
        <f>'FatClient Base Data'!F19</f>
        <v>80000</v>
      </c>
      <c r="G19" s="18">
        <f>(F19*F22+F19)/52/F6</f>
        <v>58.46153846153846</v>
      </c>
    </row>
    <row r="20" spans="2:7" ht="12.75">
      <c r="B20" s="4"/>
      <c r="C20" s="5"/>
      <c r="D20" s="16" t="s">
        <v>34</v>
      </c>
      <c r="E20" s="17"/>
      <c r="F20" s="20">
        <f>'FatClient Base Data'!F20</f>
        <v>43500</v>
      </c>
      <c r="G20" s="18">
        <f>(F20*F22+F20)/52/F6</f>
        <v>31.788461538461537</v>
      </c>
    </row>
    <row r="21" spans="2:7" ht="12.75">
      <c r="B21" s="4"/>
      <c r="C21" s="5"/>
      <c r="D21" s="5"/>
      <c r="E21" s="5"/>
      <c r="F21" s="5"/>
      <c r="G21" s="6"/>
    </row>
    <row r="22" spans="2:7" ht="12.75">
      <c r="B22" s="4"/>
      <c r="C22" s="5"/>
      <c r="D22" s="16" t="s">
        <v>35</v>
      </c>
      <c r="E22" s="5"/>
      <c r="F22" s="49">
        <f>'FatClient Base Data'!F22</f>
        <v>0.33</v>
      </c>
      <c r="G22" s="6"/>
    </row>
    <row r="23" spans="2:7" ht="12.75">
      <c r="B23" s="4"/>
      <c r="C23" s="5"/>
      <c r="D23" s="16"/>
      <c r="E23" s="5"/>
      <c r="F23" s="31"/>
      <c r="G23" s="71"/>
    </row>
    <row r="24" spans="2:7" ht="12.75">
      <c r="B24" s="4"/>
      <c r="C24" s="5"/>
      <c r="D24" s="15" t="s">
        <v>47</v>
      </c>
      <c r="E24" s="5"/>
      <c r="F24" s="5"/>
      <c r="G24" s="71"/>
    </row>
    <row r="25" spans="2:7" ht="12.75">
      <c r="B25" s="4"/>
      <c r="C25" s="5"/>
      <c r="D25" s="5" t="s">
        <v>48</v>
      </c>
      <c r="E25" s="5"/>
      <c r="F25" s="20">
        <f>'FatClient Base Data'!F25</f>
        <v>40000</v>
      </c>
      <c r="G25" s="18">
        <f>SUM(F25*F22+F25)/52/F6</f>
        <v>29.23076923076923</v>
      </c>
    </row>
    <row r="26" spans="2:7" ht="12.75">
      <c r="B26" s="4"/>
      <c r="C26" s="5"/>
      <c r="D26" s="5" t="s">
        <v>270</v>
      </c>
      <c r="E26" s="5"/>
      <c r="F26" s="20">
        <f>'FatClient Base Data'!F26</f>
        <v>80000</v>
      </c>
      <c r="G26" s="18">
        <f>SUM(F26*F22+F26)/52/F6</f>
        <v>58.46153846153846</v>
      </c>
    </row>
    <row r="27" spans="2:7" ht="12.75">
      <c r="B27" s="4"/>
      <c r="C27" s="5"/>
      <c r="D27" s="5" t="s">
        <v>49</v>
      </c>
      <c r="E27" s="5"/>
      <c r="F27" s="20">
        <f>'FatClient Base Data'!F27</f>
        <v>150000</v>
      </c>
      <c r="G27" s="18">
        <f>SUM(F27*F22+F27)/52/F6</f>
        <v>109.61538461538461</v>
      </c>
    </row>
    <row r="28" spans="2:7" ht="12.75">
      <c r="B28" s="4"/>
      <c r="C28" s="5"/>
      <c r="D28" s="16"/>
      <c r="E28" s="5"/>
      <c r="F28" s="31"/>
      <c r="G28" s="71"/>
    </row>
    <row r="29" spans="2:7" ht="12.75">
      <c r="B29" s="4"/>
      <c r="C29" s="5"/>
      <c r="D29" s="16"/>
      <c r="E29" s="5"/>
      <c r="F29" s="31" t="s">
        <v>36</v>
      </c>
      <c r="G29" s="71" t="s">
        <v>37</v>
      </c>
    </row>
    <row r="30" spans="2:7" ht="12.75">
      <c r="B30" s="4"/>
      <c r="C30" s="5"/>
      <c r="D30" s="15" t="s">
        <v>38</v>
      </c>
      <c r="E30" s="5"/>
      <c r="F30" s="20">
        <f>AVERAGE(F25:F27)</f>
        <v>90000</v>
      </c>
      <c r="G30" s="18">
        <f>AVERAGE(G25:G27)</f>
        <v>65.76923076923077</v>
      </c>
    </row>
    <row r="31" spans="2:7" ht="13.5" thickBot="1">
      <c r="B31" s="7"/>
      <c r="C31" s="8"/>
      <c r="D31" s="8"/>
      <c r="E31" s="8"/>
      <c r="F31" s="8"/>
      <c r="G31" s="9"/>
    </row>
    <row r="32" ht="14.25" thickBot="1" thickTop="1"/>
    <row r="33" spans="2:7" ht="13.5" thickTop="1">
      <c r="B33" s="2"/>
      <c r="C33" s="3"/>
      <c r="D33" s="3"/>
      <c r="E33" s="3"/>
      <c r="F33" s="3"/>
      <c r="G33" s="13"/>
    </row>
    <row r="34" spans="2:7" ht="15.75">
      <c r="B34" s="14" t="s">
        <v>397</v>
      </c>
      <c r="C34" s="5"/>
      <c r="D34" s="5"/>
      <c r="E34" s="5"/>
      <c r="F34" s="5"/>
      <c r="G34" s="6"/>
    </row>
    <row r="35" spans="2:7" ht="12.75">
      <c r="B35" s="4"/>
      <c r="C35" s="5"/>
      <c r="D35" s="5"/>
      <c r="E35" s="5"/>
      <c r="F35" s="5"/>
      <c r="G35" s="6"/>
    </row>
    <row r="36" spans="2:7" ht="12.75">
      <c r="B36" s="4"/>
      <c r="C36" s="15" t="s">
        <v>262</v>
      </c>
      <c r="D36" s="5"/>
      <c r="E36" s="5"/>
      <c r="F36" s="5"/>
      <c r="G36" s="87">
        <f>'Client Base Data'!H17</f>
        <v>2</v>
      </c>
    </row>
    <row r="37" spans="2:7" ht="12.75">
      <c r="B37" s="4"/>
      <c r="C37" s="15" t="s">
        <v>39</v>
      </c>
      <c r="D37" s="5"/>
      <c r="E37" s="5"/>
      <c r="F37" s="5"/>
      <c r="G37" s="87">
        <f>'Client Base Data'!H18</f>
        <v>15</v>
      </c>
    </row>
    <row r="38" spans="2:7" ht="13.5" thickBot="1">
      <c r="B38" s="4"/>
      <c r="C38" s="21" t="s">
        <v>189</v>
      </c>
      <c r="D38" s="22"/>
      <c r="E38" s="22"/>
      <c r="F38" s="22"/>
      <c r="G38" s="24">
        <f>AVERAGE(F11,F12,F13,F20,F17)*(F22)+AVERAGE(F11,F12,F13,F20,F17)</f>
        <v>75943</v>
      </c>
    </row>
    <row r="39" spans="2:7" ht="13.5" thickTop="1">
      <c r="B39" s="4"/>
      <c r="C39" s="5" t="s">
        <v>40</v>
      </c>
      <c r="D39" s="5"/>
      <c r="E39" s="5"/>
      <c r="F39" s="5"/>
      <c r="G39" s="23">
        <f>(G38)/52/40/60*(G37)*(G36)*12</f>
        <v>219.06634615384613</v>
      </c>
    </row>
    <row r="40" spans="2:7" ht="13.5" thickBot="1">
      <c r="B40" s="7"/>
      <c r="C40" s="8"/>
      <c r="D40" s="8"/>
      <c r="E40" s="8"/>
      <c r="F40" s="8"/>
      <c r="G40" s="9"/>
    </row>
    <row r="41" ht="14.25" thickBot="1" thickTop="1"/>
    <row r="42" spans="2:7" ht="13.5" thickTop="1">
      <c r="B42" s="2"/>
      <c r="C42" s="3"/>
      <c r="D42" s="3"/>
      <c r="E42" s="3"/>
      <c r="F42" s="3"/>
      <c r="G42" s="13"/>
    </row>
    <row r="43" spans="2:7" ht="15.75">
      <c r="B43" s="14" t="s">
        <v>394</v>
      </c>
      <c r="C43" s="5"/>
      <c r="D43" s="5"/>
      <c r="E43" s="5"/>
      <c r="F43" s="5"/>
      <c r="G43" s="6"/>
    </row>
    <row r="44" spans="2:7" ht="12.75">
      <c r="B44" s="4"/>
      <c r="C44" s="5"/>
      <c r="D44" s="5"/>
      <c r="E44" s="5"/>
      <c r="F44" s="5"/>
      <c r="G44" s="6"/>
    </row>
    <row r="45" spans="2:7" ht="12.75">
      <c r="B45" s="4"/>
      <c r="C45" s="15" t="s">
        <v>190</v>
      </c>
      <c r="D45" s="5"/>
      <c r="E45" s="5"/>
      <c r="F45" s="5"/>
      <c r="G45" s="18">
        <f>AVERAGE(F10,F12,F15,F16,F13,F14)*(F22)+AVERAGE(F10,F12,F15,F16,F13,F14)</f>
        <v>91659.16666666667</v>
      </c>
    </row>
    <row r="46" spans="2:7" ht="12.75">
      <c r="B46" s="4"/>
      <c r="C46" s="15" t="s">
        <v>3</v>
      </c>
      <c r="D46" s="5"/>
      <c r="E46" s="5"/>
      <c r="F46" s="5"/>
      <c r="G46" s="25">
        <f>'Front End'!G15</f>
        <v>5</v>
      </c>
    </row>
    <row r="47" spans="2:8" ht="13.5" thickBot="1">
      <c r="B47" s="4"/>
      <c r="C47" s="21" t="s">
        <v>271</v>
      </c>
      <c r="D47" s="22"/>
      <c r="E47" s="22"/>
      <c r="F47" s="22"/>
      <c r="G47" s="26">
        <f>'Front End'!G3</f>
        <v>2500</v>
      </c>
      <c r="H47" s="27"/>
    </row>
    <row r="48" spans="2:7" ht="13.5" thickTop="1">
      <c r="B48" s="4"/>
      <c r="C48" s="5" t="s">
        <v>195</v>
      </c>
      <c r="D48" s="5"/>
      <c r="E48" s="5"/>
      <c r="F48" s="5"/>
      <c r="G48" s="28">
        <f>(G45*G46)/(G47)*110%+150</f>
        <v>351.6501666666667</v>
      </c>
    </row>
    <row r="49" spans="2:7" ht="13.5" thickBot="1">
      <c r="B49" s="7"/>
      <c r="C49" s="8"/>
      <c r="D49" s="8"/>
      <c r="E49" s="8"/>
      <c r="F49" s="8"/>
      <c r="G49" s="9"/>
    </row>
    <row r="50" ht="14.25" thickBot="1" thickTop="1"/>
    <row r="51" spans="2:7" ht="13.5" thickTop="1">
      <c r="B51" s="2"/>
      <c r="C51" s="3"/>
      <c r="D51" s="3"/>
      <c r="E51" s="3"/>
      <c r="F51" s="3"/>
      <c r="G51" s="13"/>
    </row>
    <row r="52" spans="2:7" ht="15.75">
      <c r="B52" s="14" t="s">
        <v>398</v>
      </c>
      <c r="C52" s="5"/>
      <c r="D52" s="5"/>
      <c r="E52" s="5"/>
      <c r="F52" s="5"/>
      <c r="G52" s="6"/>
    </row>
    <row r="53" spans="2:7" ht="12.75">
      <c r="B53" s="4"/>
      <c r="C53" s="5"/>
      <c r="D53" s="5"/>
      <c r="E53" s="5"/>
      <c r="F53" s="5"/>
      <c r="G53" s="6"/>
    </row>
    <row r="54" spans="2:7" ht="12.75">
      <c r="B54" s="4"/>
      <c r="C54" s="15" t="s">
        <v>194</v>
      </c>
      <c r="D54" s="5"/>
      <c r="E54" s="5"/>
      <c r="F54" s="5"/>
      <c r="G54" s="18">
        <f>AVERAGE(F10,F12,F13,F14)*(F22)+AVERAGE(F10,F12,F13,F14)</f>
        <v>88112.5</v>
      </c>
    </row>
    <row r="55" spans="2:7" ht="12.75">
      <c r="B55" s="4"/>
      <c r="C55" s="15" t="s">
        <v>2</v>
      </c>
      <c r="D55" s="5"/>
      <c r="E55" s="5"/>
      <c r="F55" s="5"/>
      <c r="G55" s="25">
        <f>'Front End'!G13</f>
        <v>5</v>
      </c>
    </row>
    <row r="56" spans="2:8" ht="13.5" thickBot="1">
      <c r="B56" s="4"/>
      <c r="C56" s="21" t="s">
        <v>271</v>
      </c>
      <c r="D56" s="22"/>
      <c r="E56" s="22"/>
      <c r="F56" s="22"/>
      <c r="G56" s="26">
        <f>'Front End'!G3</f>
        <v>2500</v>
      </c>
      <c r="H56" s="27"/>
    </row>
    <row r="57" spans="2:7" ht="13.5" thickTop="1">
      <c r="B57" s="4"/>
      <c r="C57" s="5" t="s">
        <v>191</v>
      </c>
      <c r="D57" s="5"/>
      <c r="E57" s="5"/>
      <c r="F57" s="5"/>
      <c r="G57" s="28">
        <f>(G54*G55)/(G56)+'Calculation Sheet'!C15</f>
        <v>315.825</v>
      </c>
    </row>
    <row r="58" spans="2:7" ht="13.5" thickBot="1">
      <c r="B58" s="7"/>
      <c r="C58" s="8"/>
      <c r="D58" s="8"/>
      <c r="E58" s="8"/>
      <c r="F58" s="8"/>
      <c r="G58" s="9"/>
    </row>
    <row r="59" ht="13.5" thickTop="1"/>
    <row r="60" ht="15.75">
      <c r="C60" s="1"/>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60">
      <c r="A68" s="134" t="s">
        <v>249</v>
      </c>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60">
      <c r="A76" s="134"/>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60">
      <c r="A87" s="133"/>
      <c r="B87" s="133"/>
      <c r="C87" s="133"/>
      <c r="D87" s="134"/>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12.75">
      <c r="A101" s="133"/>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12.75">
      <c r="A103" s="133"/>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sheetData>
  <sheetProtection password="D023" sheet="1" objects="1" scenarios="1"/>
  <printOptions/>
  <pageMargins left="0.75" right="0.75" top="1" bottom="1" header="0.5" footer="0.5"/>
  <pageSetup fitToHeight="1" fitToWidth="1" horizontalDpi="600" verticalDpi="600" orientation="portrait" scale="79" r:id="rId1"/>
  <headerFooter alignWithMargins="0">
    <oddHeader>&amp;CTotal Cost of Application Ownership (TCA) Calculator</oddHeader>
    <oddFooter>&amp;LThe Tolly Group TCA Calculator&amp;R© The Tolly Group, 1999</oddFooter>
  </headerFooter>
</worksheet>
</file>

<file path=xl/worksheets/sheet31.xml><?xml version="1.0" encoding="utf-8"?>
<worksheet xmlns="http://schemas.openxmlformats.org/spreadsheetml/2006/main" xmlns:r="http://schemas.openxmlformats.org/officeDocument/2006/relationships">
  <sheetPr codeName="Sheet20">
    <pageSetUpPr fitToPage="1"/>
  </sheetPr>
  <dimension ref="A1:O79"/>
  <sheetViews>
    <sheetView workbookViewId="0" topLeftCell="A40">
      <selection activeCell="A36" sqref="A36"/>
    </sheetView>
  </sheetViews>
  <sheetFormatPr defaultColWidth="9.140625" defaultRowHeight="12.75"/>
  <cols>
    <col min="3" max="3" width="11.57421875" style="0" customWidth="1"/>
    <col min="4" max="4" width="12.140625" style="0" customWidth="1"/>
    <col min="5" max="5" width="13.0039062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399</v>
      </c>
      <c r="C3" s="5"/>
      <c r="D3" s="5"/>
      <c r="E3" s="5"/>
      <c r="F3" s="5"/>
      <c r="G3" s="6"/>
    </row>
    <row r="4" spans="1:7" ht="12.75" customHeight="1">
      <c r="A4" s="4"/>
      <c r="B4" s="30"/>
      <c r="C4" s="5"/>
      <c r="D4" s="5"/>
      <c r="E4" s="5"/>
      <c r="F4" s="5"/>
      <c r="G4" s="6"/>
    </row>
    <row r="5" spans="1:7" ht="12.75" customHeight="1">
      <c r="A5" s="4"/>
      <c r="B5" s="15" t="s">
        <v>400</v>
      </c>
      <c r="C5" s="5"/>
      <c r="D5" s="5"/>
      <c r="E5" s="5"/>
      <c r="F5" s="31">
        <f>'Fat-Application Development'!G5</f>
        <v>103075</v>
      </c>
      <c r="G5" s="6"/>
    </row>
    <row r="6" spans="1:7" ht="12.75" customHeight="1">
      <c r="A6" s="4"/>
      <c r="B6" s="15" t="s">
        <v>401</v>
      </c>
      <c r="C6" s="5"/>
      <c r="D6" s="5"/>
      <c r="E6" s="5"/>
      <c r="F6" s="189">
        <f>'Detailed Data 2'!H14</f>
        <v>185</v>
      </c>
      <c r="G6" s="6"/>
    </row>
    <row r="7" spans="1:7" ht="12.75" customHeight="1">
      <c r="A7" s="4"/>
      <c r="B7" s="30"/>
      <c r="C7" s="5"/>
      <c r="D7" s="5"/>
      <c r="E7" s="5"/>
      <c r="F7" s="5"/>
      <c r="G7" s="6"/>
    </row>
    <row r="8" spans="1:7" ht="12.75">
      <c r="A8" s="4"/>
      <c r="B8" s="5"/>
      <c r="C8" s="5"/>
      <c r="D8" s="5"/>
      <c r="E8" s="5"/>
      <c r="F8" s="5"/>
      <c r="G8" s="6"/>
    </row>
    <row r="9" spans="1:7" ht="12.75">
      <c r="A9" s="4"/>
      <c r="B9" s="15" t="s">
        <v>402</v>
      </c>
      <c r="C9" s="5"/>
      <c r="D9" s="5"/>
      <c r="E9" s="5" t="s">
        <v>50</v>
      </c>
      <c r="F9" s="101" t="s">
        <v>41</v>
      </c>
      <c r="G9" s="6"/>
    </row>
    <row r="10" spans="1:7" ht="12.75">
      <c r="A10" s="4"/>
      <c r="B10" s="5"/>
      <c r="C10" s="5" t="s">
        <v>51</v>
      </c>
      <c r="D10" s="5"/>
      <c r="E10" s="103">
        <f>'Detailed Data 2'!H16</f>
        <v>0</v>
      </c>
      <c r="F10" s="31">
        <f>F5/52/40*E10</f>
        <v>0</v>
      </c>
      <c r="G10" s="6"/>
    </row>
    <row r="11" spans="1:7" ht="12.75">
      <c r="A11" s="4"/>
      <c r="B11" s="5"/>
      <c r="C11" s="5" t="s">
        <v>52</v>
      </c>
      <c r="D11" s="5"/>
      <c r="E11" s="103">
        <f>'Detailed Data 2'!H17</f>
        <v>0</v>
      </c>
      <c r="F11" s="31">
        <f>F5/52/40*E11</f>
        <v>0</v>
      </c>
      <c r="G11" s="6"/>
    </row>
    <row r="12" spans="1:7" ht="12.75">
      <c r="A12" s="4"/>
      <c r="B12" s="5"/>
      <c r="C12" s="5" t="s">
        <v>53</v>
      </c>
      <c r="D12" s="5"/>
      <c r="E12" s="103">
        <f>'Detailed Data 2'!H18</f>
        <v>20</v>
      </c>
      <c r="F12" s="31">
        <f>F5/52/40*E12</f>
        <v>991.1057692307693</v>
      </c>
      <c r="G12" s="6"/>
    </row>
    <row r="13" spans="1:7" ht="13.5" thickBot="1">
      <c r="A13" s="4"/>
      <c r="B13" s="22"/>
      <c r="C13" s="22" t="s">
        <v>54</v>
      </c>
      <c r="D13" s="22"/>
      <c r="E13" s="191">
        <f>'Detailed Data 2'!H19</f>
        <v>20</v>
      </c>
      <c r="F13" s="35">
        <f>F5/52/40*E13</f>
        <v>991.1057692307693</v>
      </c>
      <c r="G13" s="6"/>
    </row>
    <row r="14" spans="1:7" ht="13.5" thickTop="1">
      <c r="A14" s="4"/>
      <c r="B14" s="5" t="s">
        <v>269</v>
      </c>
      <c r="C14" s="5"/>
      <c r="D14" s="5"/>
      <c r="E14" s="5"/>
      <c r="F14" s="31">
        <f>SUM(F10:F13)</f>
        <v>1982.2115384615386</v>
      </c>
      <c r="G14" s="6"/>
    </row>
    <row r="15" spans="1:7" ht="12.75">
      <c r="A15" s="4"/>
      <c r="B15" s="5"/>
      <c r="C15" s="5"/>
      <c r="D15" s="5"/>
      <c r="E15" s="5"/>
      <c r="F15" s="31"/>
      <c r="G15" s="6"/>
    </row>
    <row r="16" spans="1:7" ht="12.75">
      <c r="A16" s="4"/>
      <c r="B16" s="15" t="s">
        <v>404</v>
      </c>
      <c r="C16" s="5"/>
      <c r="D16" s="5"/>
      <c r="E16" s="5" t="s">
        <v>50</v>
      </c>
      <c r="F16" s="31"/>
      <c r="G16" s="6"/>
    </row>
    <row r="17" spans="1:7" ht="12.75">
      <c r="A17" s="4"/>
      <c r="B17" s="5"/>
      <c r="C17" s="5" t="s">
        <v>51</v>
      </c>
      <c r="D17" s="5"/>
      <c r="E17" s="103">
        <f>'Detailed Data 2'!H21</f>
        <v>0</v>
      </c>
      <c r="F17" s="31">
        <f>F6*E17</f>
        <v>0</v>
      </c>
      <c r="G17" s="6"/>
    </row>
    <row r="18" spans="1:7" ht="12.75">
      <c r="A18" s="4"/>
      <c r="B18" s="5"/>
      <c r="C18" s="5" t="s">
        <v>52</v>
      </c>
      <c r="D18" s="5"/>
      <c r="E18" s="103">
        <f>'Detailed Data 2'!H22</f>
        <v>0</v>
      </c>
      <c r="F18" s="31">
        <f>F6*E18</f>
        <v>0</v>
      </c>
      <c r="G18" s="6"/>
    </row>
    <row r="19" spans="1:7" ht="12.75">
      <c r="A19" s="4"/>
      <c r="B19" s="5"/>
      <c r="C19" s="5" t="s">
        <v>53</v>
      </c>
      <c r="D19" s="5"/>
      <c r="E19" s="103">
        <f>'Detailed Data 2'!H23</f>
        <v>0</v>
      </c>
      <c r="F19" s="31">
        <f>F6*E19</f>
        <v>0</v>
      </c>
      <c r="G19" s="6"/>
    </row>
    <row r="20" spans="1:7" ht="13.5" thickBot="1">
      <c r="A20" s="4"/>
      <c r="B20" s="22"/>
      <c r="C20" s="22" t="s">
        <v>54</v>
      </c>
      <c r="D20" s="22"/>
      <c r="E20" s="191">
        <f>'Detailed Data 2'!H24</f>
        <v>0</v>
      </c>
      <c r="F20" s="35">
        <f>F6*E20</f>
        <v>0</v>
      </c>
      <c r="G20" s="6"/>
    </row>
    <row r="21" spans="1:7" ht="13.5" thickTop="1">
      <c r="A21" s="4"/>
      <c r="B21" s="5"/>
      <c r="C21" s="5"/>
      <c r="D21" s="5"/>
      <c r="E21" s="5"/>
      <c r="F21" s="31">
        <f>SUM(F17:F20)</f>
        <v>0</v>
      </c>
      <c r="G21" s="6"/>
    </row>
    <row r="22" spans="1:7" ht="12.75">
      <c r="A22" s="4"/>
      <c r="B22" s="5"/>
      <c r="C22" s="5"/>
      <c r="D22" s="5"/>
      <c r="E22" s="5"/>
      <c r="F22" s="31"/>
      <c r="G22" s="6"/>
    </row>
    <row r="23" spans="1:7" ht="12.75">
      <c r="A23" s="4"/>
      <c r="B23" s="15" t="s">
        <v>403</v>
      </c>
      <c r="C23" s="5"/>
      <c r="D23" s="5"/>
      <c r="E23" s="5"/>
      <c r="F23" s="55"/>
      <c r="G23" s="6"/>
    </row>
    <row r="24" spans="1:7" ht="12.75">
      <c r="A24" s="4"/>
      <c r="B24" s="5"/>
      <c r="C24" s="5" t="s">
        <v>55</v>
      </c>
      <c r="D24" s="5"/>
      <c r="E24" s="5"/>
      <c r="F24" s="189">
        <f>'Fat-Application Development'!G24</f>
        <v>0</v>
      </c>
      <c r="G24" s="6"/>
    </row>
    <row r="25" spans="1:7" ht="12.75">
      <c r="A25" s="4"/>
      <c r="B25" s="5"/>
      <c r="C25" s="5" t="s">
        <v>56</v>
      </c>
      <c r="D25" s="5"/>
      <c r="E25" s="5"/>
      <c r="F25" s="189">
        <f>'Fat-Application Development'!G25</f>
        <v>0</v>
      </c>
      <c r="G25" s="6"/>
    </row>
    <row r="26" spans="1:7" ht="12.75">
      <c r="A26" s="4"/>
      <c r="B26" s="5"/>
      <c r="C26" s="5" t="s">
        <v>57</v>
      </c>
      <c r="D26" s="5"/>
      <c r="E26" s="5"/>
      <c r="F26" s="189">
        <f>'Fat-Application Development'!G26</f>
        <v>10000</v>
      </c>
      <c r="G26" s="6"/>
    </row>
    <row r="27" spans="1:7" ht="12.75">
      <c r="A27" s="4"/>
      <c r="B27" s="5"/>
      <c r="C27" s="5" t="s">
        <v>58</v>
      </c>
      <c r="D27" s="36"/>
      <c r="E27" s="36"/>
      <c r="F27" s="245"/>
      <c r="G27" s="6"/>
    </row>
    <row r="28" spans="1:7" ht="12.75">
      <c r="A28" s="4"/>
      <c r="B28" s="5"/>
      <c r="C28" s="5"/>
      <c r="D28" s="5" t="s">
        <v>59</v>
      </c>
      <c r="E28" s="5"/>
      <c r="F28" s="189">
        <f>'Fat-Application Development'!G28</f>
        <v>10000</v>
      </c>
      <c r="G28" s="6"/>
    </row>
    <row r="29" spans="1:7" ht="13.5" thickBot="1">
      <c r="A29" s="4"/>
      <c r="B29" s="22"/>
      <c r="C29" s="22"/>
      <c r="D29" s="22" t="s">
        <v>44</v>
      </c>
      <c r="E29" s="22"/>
      <c r="F29" s="189">
        <f>'Fat-Application Development'!G29</f>
        <v>10000</v>
      </c>
      <c r="G29" s="6"/>
    </row>
    <row r="30" spans="1:7" ht="13.5" thickTop="1">
      <c r="A30" s="4"/>
      <c r="B30" s="5" t="s">
        <v>269</v>
      </c>
      <c r="C30" s="5"/>
      <c r="D30" s="5"/>
      <c r="E30" s="5"/>
      <c r="F30" s="31">
        <f>SUM(F24:F26,F28:F29)</f>
        <v>30000</v>
      </c>
      <c r="G30" s="6"/>
    </row>
    <row r="31" spans="1:7" ht="13.5" thickBot="1">
      <c r="A31" s="4"/>
      <c r="B31" s="5"/>
      <c r="C31" s="5"/>
      <c r="D31" s="5"/>
      <c r="E31" s="5"/>
      <c r="F31" s="31"/>
      <c r="G31" s="6"/>
    </row>
    <row r="32" spans="1:7" ht="14.25" thickBot="1" thickTop="1">
      <c r="A32" s="4"/>
      <c r="B32" s="37" t="s">
        <v>60</v>
      </c>
      <c r="C32" s="38"/>
      <c r="D32" s="38"/>
      <c r="E32" s="38"/>
      <c r="F32" s="39">
        <f>F14+F21+F30</f>
        <v>31982.21153846154</v>
      </c>
      <c r="G32" s="6"/>
    </row>
    <row r="33" spans="1:7" ht="13.5" thickTop="1">
      <c r="A33" s="4"/>
      <c r="B33" s="5"/>
      <c r="C33" s="5"/>
      <c r="D33" s="5"/>
      <c r="E33" s="5"/>
      <c r="F33" s="5"/>
      <c r="G33" s="6"/>
    </row>
    <row r="34" spans="1:7" ht="13.5" thickBot="1">
      <c r="A34" s="7"/>
      <c r="B34" s="8"/>
      <c r="C34" s="8"/>
      <c r="D34" s="8"/>
      <c r="E34" s="8"/>
      <c r="F34" s="8"/>
      <c r="G34" s="9"/>
    </row>
    <row r="35"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32.xml><?xml version="1.0" encoding="utf-8"?>
<worksheet xmlns="http://schemas.openxmlformats.org/spreadsheetml/2006/main" xmlns:r="http://schemas.openxmlformats.org/officeDocument/2006/relationships">
  <sheetPr codeName="Sheet53">
    <pageSetUpPr fitToPage="1"/>
  </sheetPr>
  <dimension ref="A1:O79"/>
  <sheetViews>
    <sheetView workbookViewId="0" topLeftCell="A40">
      <selection activeCell="H28" sqref="H28"/>
    </sheetView>
  </sheetViews>
  <sheetFormatPr defaultColWidth="9.140625" defaultRowHeight="12.75"/>
  <cols>
    <col min="2" max="2" width="9.57421875" style="0" customWidth="1"/>
    <col min="4" max="4" width="9.57421875" style="0" customWidth="1"/>
    <col min="5" max="5" width="15.140625" style="0" customWidth="1"/>
    <col min="6" max="6" width="16.140625" style="0" customWidth="1"/>
    <col min="7" max="7" width="11.28125" style="0" customWidth="1"/>
    <col min="8" max="8" width="12.8515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405</v>
      </c>
      <c r="C3" s="5"/>
      <c r="D3" s="5"/>
      <c r="E3" s="5"/>
      <c r="F3" s="5"/>
      <c r="G3" s="5"/>
      <c r="H3" s="5"/>
      <c r="I3" s="6"/>
    </row>
    <row r="4" spans="1:9" ht="12.75">
      <c r="A4" s="4"/>
      <c r="B4" s="5"/>
      <c r="C4" s="5"/>
      <c r="D4" s="5"/>
      <c r="E4" s="5"/>
      <c r="F4" s="5"/>
      <c r="G4" s="51" t="s">
        <v>1</v>
      </c>
      <c r="H4" s="51"/>
      <c r="I4" s="6"/>
    </row>
    <row r="5" spans="1:9" ht="15.75">
      <c r="A5" s="14"/>
      <c r="B5" s="30" t="s">
        <v>406</v>
      </c>
      <c r="C5" s="5"/>
      <c r="D5" s="5"/>
      <c r="E5" s="5"/>
      <c r="F5" s="31"/>
      <c r="G5" s="5"/>
      <c r="H5" s="5"/>
      <c r="I5" s="6"/>
    </row>
    <row r="6" spans="1:9" ht="12.75">
      <c r="A6" s="4"/>
      <c r="B6" s="5"/>
      <c r="C6" s="15" t="s">
        <v>407</v>
      </c>
      <c r="D6" s="5"/>
      <c r="E6" s="5"/>
      <c r="F6" s="31" t="s">
        <v>264</v>
      </c>
      <c r="G6" s="51" t="s">
        <v>263</v>
      </c>
      <c r="H6" s="142" t="s">
        <v>41</v>
      </c>
      <c r="I6" s="6"/>
    </row>
    <row r="7" spans="1:9" ht="12.75">
      <c r="A7" s="4"/>
      <c r="B7" s="5"/>
      <c r="C7" s="5"/>
      <c r="D7" s="5" t="s">
        <v>62</v>
      </c>
      <c r="E7" s="5"/>
      <c r="F7" s="85">
        <f>'Client Software Acquisition'!G8</f>
        <v>189</v>
      </c>
      <c r="G7" s="160">
        <f>'Client Software Acquisition'!I8</f>
        <v>2500</v>
      </c>
      <c r="H7" s="31">
        <f aca="true" t="shared" si="0" ref="H7:H13">F7*G7</f>
        <v>472500</v>
      </c>
      <c r="I7" s="6"/>
    </row>
    <row r="8" spans="1:9" ht="12.75">
      <c r="A8" s="4"/>
      <c r="B8" s="5"/>
      <c r="C8" s="5"/>
      <c r="D8" s="5" t="s">
        <v>63</v>
      </c>
      <c r="E8" s="5"/>
      <c r="F8" s="85">
        <f>'Client Software Acquisition'!G9</f>
        <v>98</v>
      </c>
      <c r="G8" s="160">
        <f>'Client Software Acquisition'!I9</f>
        <v>0</v>
      </c>
      <c r="H8" s="31">
        <f t="shared" si="0"/>
        <v>0</v>
      </c>
      <c r="I8" s="6"/>
    </row>
    <row r="9" spans="1:9" ht="12.75">
      <c r="A9" s="4"/>
      <c r="B9" s="5"/>
      <c r="C9" s="5"/>
      <c r="D9" s="5" t="s">
        <v>64</v>
      </c>
      <c r="E9" s="5"/>
      <c r="F9" s="85">
        <f>'Client Software Acquisition'!G10</f>
        <v>0</v>
      </c>
      <c r="G9" s="160">
        <f>'Client Software Acquisition'!I10</f>
        <v>0</v>
      </c>
      <c r="H9" s="31">
        <f t="shared" si="0"/>
        <v>0</v>
      </c>
      <c r="I9" s="6"/>
    </row>
    <row r="10" spans="1:9" ht="12.75">
      <c r="A10" s="4"/>
      <c r="B10" s="5"/>
      <c r="C10" s="5"/>
      <c r="D10" s="5" t="s">
        <v>65</v>
      </c>
      <c r="E10" s="5"/>
      <c r="F10" s="85">
        <f>'Client Software Acquisition'!G11</f>
        <v>0</v>
      </c>
      <c r="G10" s="160">
        <f>'Client Software Acquisition'!I11</f>
        <v>0</v>
      </c>
      <c r="H10" s="31">
        <f t="shared" si="0"/>
        <v>0</v>
      </c>
      <c r="I10" s="6"/>
    </row>
    <row r="11" spans="1:9" ht="12.75">
      <c r="A11" s="4"/>
      <c r="B11" s="5"/>
      <c r="C11" s="5"/>
      <c r="D11" s="5" t="s">
        <v>66</v>
      </c>
      <c r="E11" s="5"/>
      <c r="F11" s="85">
        <f>'Client Software Acquisition'!G12</f>
        <v>0</v>
      </c>
      <c r="G11" s="160">
        <f>'Client Software Acquisition'!I12</f>
        <v>0</v>
      </c>
      <c r="H11" s="31">
        <f t="shared" si="0"/>
        <v>0</v>
      </c>
      <c r="I11" s="6"/>
    </row>
    <row r="12" spans="1:9" ht="12.75">
      <c r="A12" s="4"/>
      <c r="B12" s="5"/>
      <c r="C12" s="5"/>
      <c r="D12" s="5" t="s">
        <v>67</v>
      </c>
      <c r="E12" s="5"/>
      <c r="F12" s="85">
        <f>'Client Software Acquisition'!G13</f>
        <v>0</v>
      </c>
      <c r="G12" s="160">
        <f>'Client Software Acquisition'!I13</f>
        <v>0</v>
      </c>
      <c r="H12" s="31">
        <f t="shared" si="0"/>
        <v>0</v>
      </c>
      <c r="I12" s="6"/>
    </row>
    <row r="13" spans="1:9" ht="13.5" thickBot="1">
      <c r="A13" s="52"/>
      <c r="B13" s="22"/>
      <c r="C13" s="22"/>
      <c r="D13" s="22" t="s">
        <v>25</v>
      </c>
      <c r="E13" s="22"/>
      <c r="F13" s="85">
        <f>'Client Software Acquisition'!G14</f>
        <v>0</v>
      </c>
      <c r="G13" s="160">
        <f>'Client Software Acquisition'!I14</f>
        <v>0</v>
      </c>
      <c r="H13" s="35">
        <f t="shared" si="0"/>
        <v>0</v>
      </c>
      <c r="I13" s="6"/>
    </row>
    <row r="14" spans="1:9" ht="13.5" thickTop="1">
      <c r="A14" s="4"/>
      <c r="B14" s="5" t="s">
        <v>269</v>
      </c>
      <c r="C14" s="5"/>
      <c r="D14" s="5"/>
      <c r="E14" s="5"/>
      <c r="F14" s="31"/>
      <c r="G14" s="5"/>
      <c r="H14" s="31">
        <f>SUM(H7:H13)</f>
        <v>472500</v>
      </c>
      <c r="I14" s="6"/>
    </row>
    <row r="15" spans="1:9" ht="12.75">
      <c r="A15" s="4"/>
      <c r="B15" s="5"/>
      <c r="C15" s="5"/>
      <c r="D15" s="5"/>
      <c r="E15" s="5"/>
      <c r="F15" s="31"/>
      <c r="G15" s="5"/>
      <c r="H15" s="5"/>
      <c r="I15" s="6"/>
    </row>
    <row r="16" spans="1:9" ht="12.75">
      <c r="A16" s="4"/>
      <c r="B16" s="5"/>
      <c r="C16" s="15" t="s">
        <v>408</v>
      </c>
      <c r="D16" s="5"/>
      <c r="E16" s="5"/>
      <c r="F16" s="31"/>
      <c r="G16" s="5"/>
      <c r="H16" s="5"/>
      <c r="I16" s="6"/>
    </row>
    <row r="17" spans="1:9" ht="12.75">
      <c r="A17" s="4"/>
      <c r="B17" s="5"/>
      <c r="C17" s="5"/>
      <c r="D17" s="5" t="s">
        <v>68</v>
      </c>
      <c r="E17" s="5"/>
      <c r="F17" s="85">
        <f>'Client Software Acquisition'!G18</f>
        <v>58</v>
      </c>
      <c r="G17" s="160">
        <f>'Client Software Acquisition'!I18</f>
        <v>2500</v>
      </c>
      <c r="H17" s="31">
        <f>F17*G17</f>
        <v>145000</v>
      </c>
      <c r="I17" s="6"/>
    </row>
    <row r="18" spans="1:9" ht="12.75">
      <c r="A18" s="4"/>
      <c r="B18" s="5"/>
      <c r="C18" s="5"/>
      <c r="D18" s="5" t="s">
        <v>69</v>
      </c>
      <c r="E18" s="5"/>
      <c r="F18" s="85">
        <f>'Client Software Acquisition'!G19</f>
        <v>65</v>
      </c>
      <c r="G18" s="160">
        <f>'Client Software Acquisition'!I19</f>
        <v>2500</v>
      </c>
      <c r="H18" s="31">
        <f>F18*G18</f>
        <v>162500</v>
      </c>
      <c r="I18" s="6"/>
    </row>
    <row r="19" spans="1:9" ht="13.5" thickBot="1">
      <c r="A19" s="52"/>
      <c r="B19" s="22"/>
      <c r="C19" s="22"/>
      <c r="D19" s="22" t="s">
        <v>25</v>
      </c>
      <c r="E19" s="22"/>
      <c r="F19" s="85">
        <f>'Client Software Acquisition'!G20</f>
        <v>0</v>
      </c>
      <c r="G19" s="160">
        <f>'Client Software Acquisition'!I20</f>
        <v>0</v>
      </c>
      <c r="H19" s="35">
        <f>F19*G19</f>
        <v>0</v>
      </c>
      <c r="I19" s="6"/>
    </row>
    <row r="20" spans="1:9" ht="13.5" thickTop="1">
      <c r="A20" s="4"/>
      <c r="B20" s="5" t="s">
        <v>269</v>
      </c>
      <c r="C20" s="5"/>
      <c r="D20" s="5"/>
      <c r="E20" s="5"/>
      <c r="F20" s="31"/>
      <c r="G20" s="5"/>
      <c r="H20" s="31">
        <f>SUM(H17:H19)</f>
        <v>307500</v>
      </c>
      <c r="I20" s="6"/>
    </row>
    <row r="21" spans="1:9" ht="12.75">
      <c r="A21" s="4"/>
      <c r="B21" s="5"/>
      <c r="C21" s="5"/>
      <c r="D21" s="5"/>
      <c r="E21" s="5"/>
      <c r="F21" s="31"/>
      <c r="G21" s="5"/>
      <c r="H21" s="5"/>
      <c r="I21" s="6"/>
    </row>
    <row r="22" spans="1:9" ht="12.75">
      <c r="A22" s="4"/>
      <c r="B22" s="5"/>
      <c r="C22" s="15" t="s">
        <v>409</v>
      </c>
      <c r="D22" s="5"/>
      <c r="E22" s="5"/>
      <c r="F22" s="31"/>
      <c r="G22" s="5"/>
      <c r="H22" s="5"/>
      <c r="I22" s="6"/>
    </row>
    <row r="23" spans="1:9" ht="12.75">
      <c r="A23" s="4"/>
      <c r="B23" s="5"/>
      <c r="C23" s="5"/>
      <c r="D23" s="5" t="s">
        <v>70</v>
      </c>
      <c r="E23" s="5"/>
      <c r="F23" s="85">
        <f>'Client Software Acquisition'!G23</f>
        <v>50</v>
      </c>
      <c r="G23" s="160">
        <f>'Client Software Acquisition'!I23</f>
        <v>2500</v>
      </c>
      <c r="H23" s="31">
        <f>F23*G23</f>
        <v>125000</v>
      </c>
      <c r="I23" s="6"/>
    </row>
    <row r="24" spans="1:9" ht="12.75">
      <c r="A24" s="4"/>
      <c r="B24" s="5"/>
      <c r="C24" s="5"/>
      <c r="D24" s="5" t="s">
        <v>71</v>
      </c>
      <c r="E24" s="5"/>
      <c r="F24" s="85">
        <f>'Client Software Acquisition'!G24</f>
        <v>0</v>
      </c>
      <c r="G24" s="160">
        <f>'Client Software Acquisition'!I24</f>
        <v>0</v>
      </c>
      <c r="H24" s="31">
        <f>F24*G24</f>
        <v>0</v>
      </c>
      <c r="I24" s="6"/>
    </row>
    <row r="25" spans="1:9" ht="12.75">
      <c r="A25" s="4"/>
      <c r="B25" s="5"/>
      <c r="C25" s="5"/>
      <c r="D25" s="5" t="s">
        <v>72</v>
      </c>
      <c r="E25" s="5"/>
      <c r="F25" s="85">
        <f>'Client Software Acquisition'!G25</f>
        <v>69</v>
      </c>
      <c r="G25" s="160">
        <f>'Client Software Acquisition'!I25</f>
        <v>2500</v>
      </c>
      <c r="H25" s="31">
        <f>F25*G25</f>
        <v>172500</v>
      </c>
      <c r="I25" s="6"/>
    </row>
    <row r="26" spans="1:9" ht="13.5" thickBot="1">
      <c r="A26" s="52"/>
      <c r="B26" s="22"/>
      <c r="C26" s="22"/>
      <c r="D26" s="22" t="s">
        <v>25</v>
      </c>
      <c r="E26" s="22"/>
      <c r="F26" s="85">
        <f>'Client Software Acquisition'!G26</f>
        <v>0</v>
      </c>
      <c r="G26" s="160">
        <f>'Client Software Acquisition'!I26</f>
        <v>0</v>
      </c>
      <c r="H26" s="35">
        <f>F26*G26</f>
        <v>0</v>
      </c>
      <c r="I26" s="6"/>
    </row>
    <row r="27" spans="1:9" ht="13.5" thickTop="1">
      <c r="A27" s="4"/>
      <c r="B27" s="5" t="s">
        <v>269</v>
      </c>
      <c r="C27" s="5"/>
      <c r="D27" s="5"/>
      <c r="E27" s="5"/>
      <c r="F27" s="31"/>
      <c r="G27" s="5"/>
      <c r="H27" s="31">
        <f>SUM(H23:H26)</f>
        <v>297500</v>
      </c>
      <c r="I27" s="6"/>
    </row>
    <row r="28" spans="1:9" ht="13.5" thickBot="1">
      <c r="A28" s="4"/>
      <c r="B28" s="5"/>
      <c r="C28" s="5"/>
      <c r="D28" s="5"/>
      <c r="E28" s="5"/>
      <c r="F28" s="31"/>
      <c r="G28" s="5"/>
      <c r="H28" s="5"/>
      <c r="I28" s="6"/>
    </row>
    <row r="29" spans="1:9" ht="14.25" thickBot="1" thickTop="1">
      <c r="A29" s="4"/>
      <c r="B29" s="37" t="s">
        <v>73</v>
      </c>
      <c r="C29" s="38"/>
      <c r="D29" s="38"/>
      <c r="E29" s="38"/>
      <c r="F29" s="53"/>
      <c r="G29" s="38"/>
      <c r="H29" s="39">
        <f>SUM(H27,H20,H14)</f>
        <v>1077500</v>
      </c>
      <c r="I29" s="6"/>
    </row>
    <row r="30" spans="1:9" ht="13.5" thickTop="1">
      <c r="A30" s="4"/>
      <c r="B30" s="5"/>
      <c r="C30" s="5"/>
      <c r="D30" s="5"/>
      <c r="E30" s="5"/>
      <c r="F30" s="5"/>
      <c r="G30" s="5"/>
      <c r="H30" s="5"/>
      <c r="I30" s="6"/>
    </row>
    <row r="31" spans="1:9" ht="12.75">
      <c r="A31" s="4"/>
      <c r="B31" s="5"/>
      <c r="C31" s="5"/>
      <c r="D31" s="5"/>
      <c r="E31" s="5"/>
      <c r="F31" s="5"/>
      <c r="G31" s="5"/>
      <c r="H31" s="5"/>
      <c r="I31" s="6"/>
    </row>
    <row r="32" spans="1:9" ht="13.5" thickBot="1">
      <c r="A32" s="7"/>
      <c r="B32" s="8"/>
      <c r="C32" s="8"/>
      <c r="D32" s="8"/>
      <c r="E32" s="8"/>
      <c r="F32" s="8"/>
      <c r="G32" s="8"/>
      <c r="H32" s="8"/>
      <c r="I32" s="9"/>
    </row>
    <row r="33"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1" r:id="rId1"/>
  <headerFooter alignWithMargins="0">
    <oddHeader>&amp;CTotal Cost of Application Ownership (TCA) Calculator</oddHeader>
    <oddFooter>&amp;LThe Tolly Group TCA Calculator&amp;R© The Tolly Group, 1999</oddFooter>
  </headerFooter>
</worksheet>
</file>

<file path=xl/worksheets/sheet33.xml><?xml version="1.0" encoding="utf-8"?>
<worksheet xmlns="http://schemas.openxmlformats.org/spreadsheetml/2006/main" xmlns:r="http://schemas.openxmlformats.org/officeDocument/2006/relationships">
  <sheetPr codeName="Sheet23">
    <pageSetUpPr fitToPage="1"/>
  </sheetPr>
  <dimension ref="A1:O79"/>
  <sheetViews>
    <sheetView workbookViewId="0" topLeftCell="A40">
      <selection activeCell="A37" sqref="A37"/>
    </sheetView>
  </sheetViews>
  <sheetFormatPr defaultColWidth="9.140625" defaultRowHeight="12.75"/>
  <cols>
    <col min="2" max="2" width="9.57421875" style="0" customWidth="1"/>
    <col min="4" max="4" width="9.8515625" style="0" customWidth="1"/>
    <col min="5" max="5" width="15.140625" style="0" customWidth="1"/>
    <col min="6" max="6" width="16.140625" style="0" customWidth="1"/>
    <col min="7" max="7" width="11.28125" style="0" customWidth="1"/>
    <col min="8" max="8" width="13.0039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410</v>
      </c>
      <c r="C3" s="5"/>
      <c r="D3" s="5"/>
      <c r="E3" s="5"/>
      <c r="F3" s="5"/>
      <c r="G3" s="5"/>
      <c r="H3" s="5"/>
      <c r="I3" s="6"/>
    </row>
    <row r="4" spans="1:9" ht="12.75">
      <c r="A4" s="4"/>
      <c r="B4" s="5"/>
      <c r="C4" s="5"/>
      <c r="D4" s="5"/>
      <c r="E4" s="5"/>
      <c r="F4" s="5"/>
      <c r="G4" s="51" t="s">
        <v>1</v>
      </c>
      <c r="H4" s="51" t="s">
        <v>1</v>
      </c>
      <c r="I4" s="6"/>
    </row>
    <row r="5" spans="1:9" ht="15.75">
      <c r="A5" s="14"/>
      <c r="B5" s="30" t="s">
        <v>411</v>
      </c>
      <c r="C5" s="5"/>
      <c r="D5" s="5"/>
      <c r="E5" s="5"/>
      <c r="F5" s="31"/>
      <c r="G5" s="5"/>
      <c r="H5" s="5"/>
      <c r="I5" s="6"/>
    </row>
    <row r="6" spans="1:9" ht="12.75">
      <c r="A6" s="4"/>
      <c r="B6" s="15"/>
      <c r="C6" s="15" t="s">
        <v>412</v>
      </c>
      <c r="D6" s="5"/>
      <c r="E6" s="5"/>
      <c r="F6" s="31" t="s">
        <v>520</v>
      </c>
      <c r="G6" s="51" t="s">
        <v>312</v>
      </c>
      <c r="H6" s="142" t="s">
        <v>41</v>
      </c>
      <c r="I6" s="6"/>
    </row>
    <row r="7" spans="1:9" ht="12.75">
      <c r="A7" s="4"/>
      <c r="B7" s="5"/>
      <c r="C7" s="5"/>
      <c r="D7" s="5" t="s">
        <v>75</v>
      </c>
      <c r="E7" s="5"/>
      <c r="F7" s="85">
        <f>'Server Software Acquisition'!G8</f>
        <v>995</v>
      </c>
      <c r="G7" s="160">
        <f>'Server Software Acquisition'!I8</f>
        <v>4</v>
      </c>
      <c r="H7" s="31">
        <f aca="true" t="shared" si="0" ref="H7:H12">F7*G7</f>
        <v>3980</v>
      </c>
      <c r="I7" s="6"/>
    </row>
    <row r="8" spans="1:9" ht="12.75">
      <c r="A8" s="4"/>
      <c r="B8" s="5"/>
      <c r="C8" s="5"/>
      <c r="D8" s="5" t="s">
        <v>76</v>
      </c>
      <c r="E8" s="5"/>
      <c r="F8" s="85">
        <f>'Server Software Acquisition'!G9</f>
        <v>0</v>
      </c>
      <c r="G8" s="160">
        <f>'Server Software Acquisition'!I9</f>
        <v>0</v>
      </c>
      <c r="H8" s="31">
        <f t="shared" si="0"/>
        <v>0</v>
      </c>
      <c r="I8" s="6"/>
    </row>
    <row r="9" spans="1:9" ht="12.75">
      <c r="A9" s="4"/>
      <c r="B9" s="5"/>
      <c r="C9" s="5"/>
      <c r="D9" s="5" t="s">
        <v>65</v>
      </c>
      <c r="E9" s="5"/>
      <c r="F9" s="85">
        <f>'Server Software Acquisition'!G10</f>
        <v>0</v>
      </c>
      <c r="G9" s="160">
        <f>'Server Software Acquisition'!I10</f>
        <v>0</v>
      </c>
      <c r="H9" s="31">
        <f t="shared" si="0"/>
        <v>0</v>
      </c>
      <c r="I9" s="6"/>
    </row>
    <row r="10" spans="1:9" ht="12.75">
      <c r="A10" s="4"/>
      <c r="B10" s="5"/>
      <c r="C10" s="5"/>
      <c r="D10" s="5" t="s">
        <v>77</v>
      </c>
      <c r="E10" s="5"/>
      <c r="F10" s="85">
        <f>'Server Software Acquisition'!G11</f>
        <v>0</v>
      </c>
      <c r="G10" s="160">
        <f>'Server Software Acquisition'!I11</f>
        <v>0</v>
      </c>
      <c r="H10" s="31">
        <f t="shared" si="0"/>
        <v>0</v>
      </c>
      <c r="I10" s="6"/>
    </row>
    <row r="11" spans="1:9" ht="12.75">
      <c r="A11" s="4"/>
      <c r="B11" s="5"/>
      <c r="C11" s="5"/>
      <c r="D11" s="5" t="s">
        <v>78</v>
      </c>
      <c r="E11" s="5"/>
      <c r="F11" s="85">
        <f>'Server Software Acquisition'!G12</f>
        <v>0</v>
      </c>
      <c r="G11" s="160">
        <f>'Server Software Acquisition'!I12</f>
        <v>0</v>
      </c>
      <c r="H11" s="31">
        <f t="shared" si="0"/>
        <v>0</v>
      </c>
      <c r="I11" s="6"/>
    </row>
    <row r="12" spans="1:9" ht="13.5" thickBot="1">
      <c r="A12" s="52"/>
      <c r="B12" s="22"/>
      <c r="C12" s="22"/>
      <c r="D12" s="22" t="s">
        <v>25</v>
      </c>
      <c r="E12" s="22"/>
      <c r="F12" s="85">
        <f>'Server Software Acquisition'!G13</f>
        <v>0</v>
      </c>
      <c r="G12" s="160">
        <f>'Server Software Acquisition'!I13</f>
        <v>0</v>
      </c>
      <c r="H12" s="35">
        <f t="shared" si="0"/>
        <v>0</v>
      </c>
      <c r="I12" s="6"/>
    </row>
    <row r="13" spans="1:9" ht="13.5" thickTop="1">
      <c r="A13" s="4"/>
      <c r="B13" s="5" t="s">
        <v>269</v>
      </c>
      <c r="C13" s="5"/>
      <c r="D13" s="5"/>
      <c r="E13" s="5"/>
      <c r="F13" s="31"/>
      <c r="G13" s="5"/>
      <c r="H13" s="31">
        <f>SUM(H7:H12)</f>
        <v>3980</v>
      </c>
      <c r="I13" s="6"/>
    </row>
    <row r="14" spans="1:9" ht="12.75">
      <c r="A14" s="4"/>
      <c r="B14" s="5"/>
      <c r="C14" s="5"/>
      <c r="D14" s="5"/>
      <c r="E14" s="5"/>
      <c r="F14" s="31"/>
      <c r="G14" s="5"/>
      <c r="H14" s="5"/>
      <c r="I14" s="6"/>
    </row>
    <row r="15" spans="1:9" ht="12.75">
      <c r="A15" s="4"/>
      <c r="B15" s="15"/>
      <c r="C15" s="15" t="s">
        <v>413</v>
      </c>
      <c r="D15" s="15"/>
      <c r="E15" s="5"/>
      <c r="F15" s="55"/>
      <c r="G15" s="56"/>
      <c r="H15" s="5"/>
      <c r="I15" s="6"/>
    </row>
    <row r="16" spans="1:9" ht="12.75">
      <c r="A16" s="4"/>
      <c r="B16" s="5"/>
      <c r="C16" s="5"/>
      <c r="D16" s="5" t="s">
        <v>79</v>
      </c>
      <c r="E16" s="5"/>
      <c r="F16" s="85">
        <f>'Server Software Acquisition'!G16</f>
        <v>495</v>
      </c>
      <c r="G16" s="88">
        <f>'Server Software Acquisition'!I16</f>
        <v>2</v>
      </c>
      <c r="H16" s="31">
        <f>F16*G16</f>
        <v>990</v>
      </c>
      <c r="I16" s="6"/>
    </row>
    <row r="17" spans="1:9" ht="12.75">
      <c r="A17" s="4"/>
      <c r="B17" s="5"/>
      <c r="C17" s="5"/>
      <c r="D17" s="5" t="s">
        <v>68</v>
      </c>
      <c r="E17" s="5"/>
      <c r="F17" s="85">
        <f>'Server Software Acquisition'!G17</f>
        <v>49</v>
      </c>
      <c r="G17" s="88">
        <f>'Server Software Acquisition'!I17</f>
        <v>4</v>
      </c>
      <c r="H17" s="31">
        <f>F17*G17</f>
        <v>196</v>
      </c>
      <c r="I17" s="6"/>
    </row>
    <row r="18" spans="1:9" ht="13.5" thickBot="1">
      <c r="A18" s="52"/>
      <c r="B18" s="22"/>
      <c r="C18" s="22"/>
      <c r="D18" s="22" t="s">
        <v>25</v>
      </c>
      <c r="E18" s="22"/>
      <c r="F18" s="85">
        <f>'Server Software Acquisition'!G18</f>
        <v>0</v>
      </c>
      <c r="G18" s="88">
        <f>'Server Software Acquisition'!I18</f>
        <v>0</v>
      </c>
      <c r="H18" s="35">
        <f>F18*G18</f>
        <v>0</v>
      </c>
      <c r="I18" s="6"/>
    </row>
    <row r="19" spans="1:9" ht="13.5" thickTop="1">
      <c r="A19" s="4"/>
      <c r="B19" s="5" t="s">
        <v>269</v>
      </c>
      <c r="C19" s="5"/>
      <c r="D19" s="5"/>
      <c r="E19" s="5"/>
      <c r="F19" s="31"/>
      <c r="G19" s="5"/>
      <c r="H19" s="31">
        <f>SUM(H16:H18)</f>
        <v>1186</v>
      </c>
      <c r="I19" s="6"/>
    </row>
    <row r="20" spans="1:9" ht="12.75">
      <c r="A20" s="4"/>
      <c r="B20" s="5"/>
      <c r="C20" s="5"/>
      <c r="D20" s="5"/>
      <c r="E20" s="5"/>
      <c r="F20" s="31"/>
      <c r="G20" s="5"/>
      <c r="H20" s="5"/>
      <c r="I20" s="6"/>
    </row>
    <row r="21" spans="1:9" ht="12.75">
      <c r="A21" s="4"/>
      <c r="B21" s="15"/>
      <c r="C21" s="15" t="s">
        <v>414</v>
      </c>
      <c r="D21" s="15"/>
      <c r="E21" s="5"/>
      <c r="F21" s="31"/>
      <c r="G21" s="5"/>
      <c r="H21" s="5"/>
      <c r="I21" s="6"/>
    </row>
    <row r="22" spans="1:9" ht="12.75">
      <c r="A22" s="4"/>
      <c r="B22" s="5"/>
      <c r="C22" s="5"/>
      <c r="D22" s="5" t="s">
        <v>80</v>
      </c>
      <c r="E22" s="5"/>
      <c r="F22" s="85">
        <f>'Server Software Acquisition'!G21</f>
        <v>150</v>
      </c>
      <c r="G22" s="160">
        <f>'Server Software Acquisition'!I21</f>
        <v>2500</v>
      </c>
      <c r="H22" s="31">
        <f aca="true" t="shared" si="1" ref="H22:H30">F22*G22</f>
        <v>375000</v>
      </c>
      <c r="I22" s="6"/>
    </row>
    <row r="23" spans="1:9" ht="12.75">
      <c r="A23" s="4"/>
      <c r="B23" s="5"/>
      <c r="C23" s="5"/>
      <c r="D23" s="5" t="s">
        <v>81</v>
      </c>
      <c r="E23" s="5"/>
      <c r="F23" s="85">
        <f>'Server Software Acquisition'!G22</f>
        <v>2500</v>
      </c>
      <c r="G23" s="160">
        <f>'Server Software Acquisition'!I22</f>
        <v>1</v>
      </c>
      <c r="H23" s="31">
        <f t="shared" si="1"/>
        <v>2500</v>
      </c>
      <c r="I23" s="6"/>
    </row>
    <row r="24" spans="1:9" ht="12.75">
      <c r="A24" s="4"/>
      <c r="B24" s="5"/>
      <c r="C24" s="5"/>
      <c r="D24" s="5" t="s">
        <v>82</v>
      </c>
      <c r="E24" s="5"/>
      <c r="F24" s="85">
        <f>'Server Software Acquisition'!G23</f>
        <v>0</v>
      </c>
      <c r="G24" s="160">
        <f>'Server Software Acquisition'!I23</f>
        <v>0</v>
      </c>
      <c r="H24" s="31">
        <f t="shared" si="1"/>
        <v>0</v>
      </c>
      <c r="I24" s="6"/>
    </row>
    <row r="25" spans="1:9" ht="12.75">
      <c r="A25" s="4"/>
      <c r="B25" s="5"/>
      <c r="C25" s="5"/>
      <c r="D25" s="5" t="s">
        <v>173</v>
      </c>
      <c r="E25" s="5"/>
      <c r="F25" s="85">
        <f>'Server Software Acquisition'!G24</f>
        <v>0</v>
      </c>
      <c r="G25" s="160">
        <f>'Server Software Acquisition'!I24</f>
        <v>0</v>
      </c>
      <c r="H25" s="31">
        <f t="shared" si="1"/>
        <v>0</v>
      </c>
      <c r="I25" s="6"/>
    </row>
    <row r="26" spans="1:9" ht="12.75">
      <c r="A26" s="4"/>
      <c r="B26" s="5"/>
      <c r="C26" s="5"/>
      <c r="D26" s="5" t="s">
        <v>180</v>
      </c>
      <c r="E26" s="5"/>
      <c r="F26" s="85">
        <f>'Server Software Acquisition'!G25</f>
        <v>0</v>
      </c>
      <c r="G26" s="160">
        <f>'Server Software Acquisition'!I25</f>
        <v>0</v>
      </c>
      <c r="H26" s="31">
        <f>G26*F26</f>
        <v>0</v>
      </c>
      <c r="I26" s="6"/>
    </row>
    <row r="27" spans="1:9" ht="12.75">
      <c r="A27" s="4"/>
      <c r="B27" s="5"/>
      <c r="C27" s="5"/>
      <c r="D27" s="5" t="s">
        <v>83</v>
      </c>
      <c r="E27" s="5"/>
      <c r="F27" s="85">
        <f>'Server Software Acquisition'!G26</f>
        <v>3500</v>
      </c>
      <c r="G27" s="160">
        <f>'Server Software Acquisition'!I26</f>
        <v>0</v>
      </c>
      <c r="H27" s="31">
        <f t="shared" si="1"/>
        <v>0</v>
      </c>
      <c r="I27" s="6"/>
    </row>
    <row r="28" spans="1:9" ht="12.75">
      <c r="A28" s="4"/>
      <c r="B28" s="5"/>
      <c r="C28" s="5"/>
      <c r="D28" s="5" t="s">
        <v>292</v>
      </c>
      <c r="E28" s="5"/>
      <c r="F28" s="85">
        <f>'Server Software Acquisition'!G27</f>
        <v>23080</v>
      </c>
      <c r="G28" s="160">
        <f>'Server Software Acquisition'!I27</f>
        <v>0</v>
      </c>
      <c r="H28" s="31">
        <f t="shared" si="1"/>
        <v>0</v>
      </c>
      <c r="I28" s="6"/>
    </row>
    <row r="29" spans="1:9" ht="12.75">
      <c r="A29" s="4"/>
      <c r="B29" s="5"/>
      <c r="C29" s="5"/>
      <c r="D29" s="5" t="s">
        <v>84</v>
      </c>
      <c r="E29" s="5"/>
      <c r="F29" s="85">
        <f>'Server Software Acquisition'!G28</f>
        <v>3500</v>
      </c>
      <c r="G29" s="160">
        <f>'Server Software Acquisition'!I28</f>
        <v>1</v>
      </c>
      <c r="H29" s="31">
        <f t="shared" si="1"/>
        <v>3500</v>
      </c>
      <c r="I29" s="6"/>
    </row>
    <row r="30" spans="1:9" ht="13.5" thickBot="1">
      <c r="A30" s="52"/>
      <c r="B30" s="22"/>
      <c r="C30" s="22"/>
      <c r="D30" s="22" t="s">
        <v>25</v>
      </c>
      <c r="E30" s="22"/>
      <c r="F30" s="85">
        <f>'Server Software Acquisition'!G29</f>
        <v>0</v>
      </c>
      <c r="G30" s="160">
        <f>'Server Software Acquisition'!I29</f>
        <v>0</v>
      </c>
      <c r="H30" s="35">
        <f t="shared" si="1"/>
        <v>0</v>
      </c>
      <c r="I30" s="6"/>
    </row>
    <row r="31" spans="1:9" ht="13.5" thickTop="1">
      <c r="A31" s="4"/>
      <c r="B31" s="5" t="s">
        <v>269</v>
      </c>
      <c r="C31" s="5"/>
      <c r="D31" s="5"/>
      <c r="E31" s="5"/>
      <c r="F31" s="31"/>
      <c r="G31" s="5"/>
      <c r="H31" s="31">
        <f>SUM(H22:H30)</f>
        <v>381000</v>
      </c>
      <c r="I31" s="6"/>
    </row>
    <row r="32" spans="1:9" ht="13.5" thickBot="1">
      <c r="A32" s="4"/>
      <c r="B32" s="5"/>
      <c r="C32" s="5"/>
      <c r="D32" s="5"/>
      <c r="E32" s="5"/>
      <c r="F32" s="31"/>
      <c r="G32" s="5"/>
      <c r="H32" s="5"/>
      <c r="I32" s="6"/>
    </row>
    <row r="33" spans="1:9" ht="14.25" thickBot="1" thickTop="1">
      <c r="A33" s="4"/>
      <c r="B33" s="37" t="s">
        <v>85</v>
      </c>
      <c r="C33" s="38"/>
      <c r="D33" s="38"/>
      <c r="E33" s="38"/>
      <c r="F33" s="53"/>
      <c r="G33" s="38"/>
      <c r="H33" s="39">
        <f>SUM(H31,H19,H13)</f>
        <v>386166</v>
      </c>
      <c r="I33" s="6"/>
    </row>
    <row r="34" spans="1:9" ht="13.5" thickTop="1">
      <c r="A34" s="4"/>
      <c r="B34" s="5"/>
      <c r="C34" s="5"/>
      <c r="D34" s="5"/>
      <c r="E34" s="5"/>
      <c r="F34" s="5"/>
      <c r="G34" s="5"/>
      <c r="H34" s="5"/>
      <c r="I34" s="6"/>
    </row>
    <row r="35" spans="1:9" ht="13.5" thickBot="1">
      <c r="A35" s="7"/>
      <c r="B35" s="8"/>
      <c r="C35" s="8"/>
      <c r="D35" s="8"/>
      <c r="E35" s="8"/>
      <c r="F35" s="8"/>
      <c r="G35" s="8"/>
      <c r="H35" s="8"/>
      <c r="I35" s="9"/>
    </row>
    <row r="36"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34.xml><?xml version="1.0" encoding="utf-8"?>
<worksheet xmlns="http://schemas.openxmlformats.org/spreadsheetml/2006/main" xmlns:r="http://schemas.openxmlformats.org/officeDocument/2006/relationships">
  <sheetPr codeName="Sheet24">
    <pageSetUpPr fitToPage="1"/>
  </sheetPr>
  <dimension ref="A1:O69"/>
  <sheetViews>
    <sheetView workbookViewId="0" topLeftCell="A30">
      <selection activeCell="A22" sqref="A22"/>
    </sheetView>
  </sheetViews>
  <sheetFormatPr defaultColWidth="9.140625" defaultRowHeight="12.75"/>
  <cols>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415</v>
      </c>
      <c r="C3" s="5"/>
      <c r="D3" s="5"/>
      <c r="E3" s="5"/>
      <c r="F3" s="5"/>
      <c r="G3" s="5"/>
      <c r="H3" s="6"/>
    </row>
    <row r="4" spans="1:8" ht="12.75">
      <c r="A4" s="4"/>
      <c r="B4" s="5"/>
      <c r="C4" s="5"/>
      <c r="D4" s="5"/>
      <c r="E4" s="5"/>
      <c r="F4" s="5" t="s">
        <v>50</v>
      </c>
      <c r="G4" s="101" t="s">
        <v>41</v>
      </c>
      <c r="H4" s="6"/>
    </row>
    <row r="5" spans="1:8" ht="12.75">
      <c r="A5" s="4"/>
      <c r="B5" s="5" t="s">
        <v>86</v>
      </c>
      <c r="C5" s="5"/>
      <c r="D5" s="5"/>
      <c r="E5" s="5"/>
      <c r="F5" s="92">
        <f>'Application Integration'!H6</f>
        <v>40</v>
      </c>
      <c r="G5" s="31">
        <f>'Thin Application Development'!F5/52/40*F5</f>
        <v>1982.2115384615386</v>
      </c>
      <c r="H5" s="6"/>
    </row>
    <row r="6" spans="1:8" ht="12.75">
      <c r="A6" s="4"/>
      <c r="B6" s="5" t="s">
        <v>87</v>
      </c>
      <c r="C6" s="5"/>
      <c r="D6" s="5"/>
      <c r="E6" s="5"/>
      <c r="F6" s="92">
        <f>'Application Integration'!H7</f>
        <v>80</v>
      </c>
      <c r="G6" s="31">
        <f>'Thin Application Development'!F5/52/40*F6</f>
        <v>3964.423076923077</v>
      </c>
      <c r="H6" s="6"/>
    </row>
    <row r="7" spans="1:8" ht="12.75">
      <c r="A7" s="4"/>
      <c r="B7" s="5" t="s">
        <v>88</v>
      </c>
      <c r="C7" s="5"/>
      <c r="D7" s="5"/>
      <c r="E7" s="5"/>
      <c r="F7" s="92">
        <f>'Application Integration'!H8</f>
        <v>40</v>
      </c>
      <c r="G7" s="31">
        <f>'Thin Application Development'!F5/52/40*F7</f>
        <v>1982.2115384615386</v>
      </c>
      <c r="H7" s="6"/>
    </row>
    <row r="8" spans="1:8" ht="13.5" thickBot="1">
      <c r="A8" s="4"/>
      <c r="B8" s="22" t="s">
        <v>89</v>
      </c>
      <c r="C8" s="22"/>
      <c r="D8" s="22"/>
      <c r="E8" s="22"/>
      <c r="F8" s="93">
        <f>'Application Integration'!H9</f>
        <v>20</v>
      </c>
      <c r="G8" s="35">
        <f>'Thin Application Development'!F5/52/40*F8</f>
        <v>991.1057692307693</v>
      </c>
      <c r="H8" s="6"/>
    </row>
    <row r="9" spans="1:8" ht="13.5" thickTop="1">
      <c r="A9" s="4"/>
      <c r="B9" s="5" t="s">
        <v>269</v>
      </c>
      <c r="C9" s="5"/>
      <c r="D9" s="5"/>
      <c r="E9" s="5"/>
      <c r="F9" s="5"/>
      <c r="G9" s="31">
        <f>SUM(G5:G8)</f>
        <v>8919.951923076924</v>
      </c>
      <c r="H9" s="6"/>
    </row>
    <row r="10" spans="1:8" ht="12.75">
      <c r="A10" s="4"/>
      <c r="B10" s="5"/>
      <c r="C10" s="5"/>
      <c r="D10" s="5"/>
      <c r="E10" s="5"/>
      <c r="F10" s="5"/>
      <c r="G10" s="31"/>
      <c r="H10" s="6"/>
    </row>
    <row r="11" spans="1:8" ht="12.75">
      <c r="A11" s="4"/>
      <c r="B11" s="5" t="s">
        <v>90</v>
      </c>
      <c r="C11" s="5"/>
      <c r="D11" s="5"/>
      <c r="E11" s="5"/>
      <c r="F11" s="5"/>
      <c r="G11" s="31"/>
      <c r="H11" s="6"/>
    </row>
    <row r="12" spans="1:8" ht="12.75">
      <c r="A12" s="4"/>
      <c r="B12" s="5"/>
      <c r="C12" s="5" t="s">
        <v>91</v>
      </c>
      <c r="D12" s="5"/>
      <c r="E12" s="5"/>
      <c r="F12" s="5"/>
      <c r="G12" s="85">
        <f>'Application Integration'!G12</f>
        <v>40</v>
      </c>
      <c r="H12" s="6"/>
    </row>
    <row r="13" spans="1:8" ht="12.75">
      <c r="A13" s="4"/>
      <c r="B13" s="5"/>
      <c r="C13" s="5" t="s">
        <v>92</v>
      </c>
      <c r="D13" s="5"/>
      <c r="E13" s="5"/>
      <c r="F13" s="5"/>
      <c r="G13" s="85">
        <f>'Application Integration'!G13</f>
        <v>150</v>
      </c>
      <c r="H13" s="6"/>
    </row>
    <row r="14" spans="1:8" ht="13.5" thickBot="1">
      <c r="A14" s="4"/>
      <c r="B14" s="22"/>
      <c r="C14" s="22" t="s">
        <v>93</v>
      </c>
      <c r="D14" s="22"/>
      <c r="E14" s="22"/>
      <c r="F14" s="22"/>
      <c r="G14" s="91">
        <f>'Application Integration'!G14</f>
        <v>0</v>
      </c>
      <c r="H14" s="6"/>
    </row>
    <row r="15" spans="1:8" ht="13.5" thickTop="1">
      <c r="A15" s="4"/>
      <c r="B15" s="5"/>
      <c r="C15" s="5"/>
      <c r="D15" s="5"/>
      <c r="E15" s="5"/>
      <c r="F15" s="5"/>
      <c r="G15" s="31">
        <f>SUM(G12:G14)</f>
        <v>190</v>
      </c>
      <c r="H15" s="6"/>
    </row>
    <row r="16" spans="1:8" ht="13.5" thickBot="1">
      <c r="A16" s="4"/>
      <c r="B16" s="5"/>
      <c r="C16" s="5"/>
      <c r="D16" s="5"/>
      <c r="E16" s="5"/>
      <c r="F16" s="5"/>
      <c r="G16" s="31"/>
      <c r="H16" s="6"/>
    </row>
    <row r="17" spans="1:8" ht="14.25" thickBot="1" thickTop="1">
      <c r="A17" s="4"/>
      <c r="B17" s="37" t="s">
        <v>94</v>
      </c>
      <c r="C17" s="38"/>
      <c r="D17" s="38"/>
      <c r="E17" s="38"/>
      <c r="F17" s="38"/>
      <c r="G17" s="39">
        <f>G9+G15</f>
        <v>9109.951923076924</v>
      </c>
      <c r="H17" s="6"/>
    </row>
    <row r="18" spans="1:8" ht="13.5" thickTop="1">
      <c r="A18" s="4"/>
      <c r="B18" s="5"/>
      <c r="C18" s="5"/>
      <c r="D18" s="5"/>
      <c r="E18" s="5"/>
      <c r="F18" s="5"/>
      <c r="G18" s="5"/>
      <c r="H18" s="6"/>
    </row>
    <row r="19" spans="1:8" ht="13.5" thickBot="1">
      <c r="A19" s="7"/>
      <c r="B19" s="8"/>
      <c r="C19" s="8"/>
      <c r="D19" s="8"/>
      <c r="E19" s="8"/>
      <c r="F19" s="8"/>
      <c r="G19" s="8"/>
      <c r="H19" s="9"/>
    </row>
    <row r="20"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35.xml><?xml version="1.0" encoding="utf-8"?>
<worksheet xmlns="http://schemas.openxmlformats.org/spreadsheetml/2006/main" xmlns:r="http://schemas.openxmlformats.org/officeDocument/2006/relationships">
  <sheetPr codeName="Sheet82">
    <pageSetUpPr fitToPage="1"/>
  </sheetPr>
  <dimension ref="A1:O69"/>
  <sheetViews>
    <sheetView workbookViewId="0" topLeftCell="A30">
      <selection activeCell="A23" sqref="A23"/>
    </sheetView>
  </sheetViews>
  <sheetFormatPr defaultColWidth="9.140625" defaultRowHeight="12.75"/>
  <cols>
    <col min="2" max="2" width="10.00390625" style="0" customWidth="1"/>
    <col min="6" max="6" width="14.140625" style="0" customWidth="1"/>
    <col min="7" max="7" width="13.281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416</v>
      </c>
      <c r="C3" s="5"/>
      <c r="D3" s="5"/>
      <c r="E3" s="5"/>
      <c r="F3" s="5"/>
      <c r="G3" s="5"/>
      <c r="H3" s="6"/>
    </row>
    <row r="4" spans="1:8" ht="12.75">
      <c r="A4" s="4"/>
      <c r="B4" s="5"/>
      <c r="C4" s="5"/>
      <c r="D4" s="5"/>
      <c r="E4" s="5"/>
      <c r="F4" s="5"/>
      <c r="G4" s="5"/>
      <c r="H4" s="6"/>
    </row>
    <row r="5" spans="1:8" ht="12.75">
      <c r="A5" s="4"/>
      <c r="B5" s="15" t="s">
        <v>417</v>
      </c>
      <c r="C5" s="5"/>
      <c r="D5" s="5"/>
      <c r="E5" s="5"/>
      <c r="F5" s="5" t="s">
        <v>164</v>
      </c>
      <c r="G5" s="143" t="s">
        <v>41</v>
      </c>
      <c r="H5" s="6"/>
    </row>
    <row r="6" spans="1:8" ht="12.75">
      <c r="A6" s="4"/>
      <c r="B6" s="5"/>
      <c r="C6" s="5" t="s">
        <v>181</v>
      </c>
      <c r="D6" s="5"/>
      <c r="E6" s="5"/>
      <c r="F6" s="88">
        <f>'Application Installation'!H7</f>
        <v>30</v>
      </c>
      <c r="G6" s="72">
        <f>'Calculation Sheet'!E11/52/40/60*F6</f>
        <v>18.255528846153844</v>
      </c>
      <c r="H6" s="6"/>
    </row>
    <row r="7" spans="1:8" ht="13.5" thickBot="1">
      <c r="A7" s="4"/>
      <c r="B7" s="22"/>
      <c r="C7" s="22" t="s">
        <v>182</v>
      </c>
      <c r="D7" s="22"/>
      <c r="E7" s="22"/>
      <c r="F7" s="89">
        <f>'Application Installation'!H8</f>
        <v>15</v>
      </c>
      <c r="G7" s="57">
        <f>'Calculation Sheet'!E11/52/40/60*F7</f>
        <v>9.127764423076922</v>
      </c>
      <c r="H7" s="6"/>
    </row>
    <row r="8" spans="1:8" ht="13.5" thickTop="1">
      <c r="A8" s="4"/>
      <c r="B8" s="5" t="s">
        <v>269</v>
      </c>
      <c r="C8" s="5"/>
      <c r="D8" s="5"/>
      <c r="E8" s="5"/>
      <c r="F8" s="5"/>
      <c r="G8" s="31">
        <f>SUM(G6:G7)</f>
        <v>27.383293269230766</v>
      </c>
      <c r="H8" s="6"/>
    </row>
    <row r="9" spans="1:8" ht="12.75">
      <c r="A9" s="4"/>
      <c r="B9" s="5"/>
      <c r="C9" s="5"/>
      <c r="D9" s="5"/>
      <c r="E9" s="5"/>
      <c r="F9" s="5"/>
      <c r="G9" s="31"/>
      <c r="H9" s="6"/>
    </row>
    <row r="10" spans="1:8" ht="12.75">
      <c r="A10" s="4"/>
      <c r="B10" s="15" t="s">
        <v>418</v>
      </c>
      <c r="C10" s="5"/>
      <c r="D10" s="5"/>
      <c r="E10" s="5"/>
      <c r="F10" s="5" t="s">
        <v>50</v>
      </c>
      <c r="G10" s="31"/>
      <c r="H10" s="6"/>
    </row>
    <row r="11" spans="1:8" ht="12.75">
      <c r="A11" s="4"/>
      <c r="B11" s="5"/>
      <c r="C11" s="5" t="s">
        <v>95</v>
      </c>
      <c r="D11" s="5"/>
      <c r="E11" s="5"/>
      <c r="F11" s="88">
        <f>'Application Installation'!H11</f>
        <v>0.5</v>
      </c>
      <c r="G11" s="73">
        <f>'Calculation Sheet'!E11/52/40*F11</f>
        <v>18.255528846153844</v>
      </c>
      <c r="H11" s="6"/>
    </row>
    <row r="12" spans="1:8" ht="12.75">
      <c r="A12" s="4"/>
      <c r="B12" s="5"/>
      <c r="C12" s="5" t="s">
        <v>96</v>
      </c>
      <c r="D12" s="5"/>
      <c r="E12" s="5"/>
      <c r="F12" s="5"/>
      <c r="G12" s="85">
        <f>'Application Installation'!H14</f>
        <v>25</v>
      </c>
      <c r="H12" s="6"/>
    </row>
    <row r="13" spans="1:8" ht="13.5" thickBot="1">
      <c r="A13" s="4"/>
      <c r="B13" s="22"/>
      <c r="C13" s="22" t="s">
        <v>97</v>
      </c>
      <c r="D13" s="22"/>
      <c r="E13" s="22"/>
      <c r="F13" s="161">
        <f>'Application Installation'!H12</f>
        <v>0</v>
      </c>
      <c r="G13" s="57">
        <f>'Calculation Sheet'!E11/52/40*F13</f>
        <v>0</v>
      </c>
      <c r="H13" s="6"/>
    </row>
    <row r="14" spans="1:8" ht="13.5" thickTop="1">
      <c r="A14" s="4"/>
      <c r="B14" s="5"/>
      <c r="C14" s="5"/>
      <c r="D14" s="5"/>
      <c r="E14" s="5"/>
      <c r="F14" s="5"/>
      <c r="G14" s="31">
        <f>SUM(G11:G13)</f>
        <v>43.255528846153844</v>
      </c>
      <c r="H14" s="6"/>
    </row>
    <row r="15" spans="1:8" ht="12.75">
      <c r="A15" s="4"/>
      <c r="B15" s="5"/>
      <c r="C15" s="5"/>
      <c r="D15" s="5"/>
      <c r="E15" s="5"/>
      <c r="F15" s="5"/>
      <c r="G15" s="31"/>
      <c r="H15" s="6"/>
    </row>
    <row r="16" spans="1:8" ht="13.5" thickBot="1">
      <c r="A16" s="4"/>
      <c r="B16" s="5"/>
      <c r="C16" s="5"/>
      <c r="D16" s="5"/>
      <c r="E16" s="5"/>
      <c r="F16" s="5"/>
      <c r="G16" s="31"/>
      <c r="H16" s="6"/>
    </row>
    <row r="17" spans="1:8" ht="14.25" thickBot="1" thickTop="1">
      <c r="A17" s="4"/>
      <c r="B17" s="37" t="s">
        <v>98</v>
      </c>
      <c r="C17" s="38"/>
      <c r="D17" s="38"/>
      <c r="E17" s="38"/>
      <c r="F17" s="38"/>
      <c r="G17" s="150">
        <v>27.38</v>
      </c>
      <c r="H17" s="6"/>
    </row>
    <row r="18" spans="1:8" ht="13.5" thickTop="1">
      <c r="A18" s="4"/>
      <c r="B18" s="5"/>
      <c r="C18" s="5"/>
      <c r="D18" s="5"/>
      <c r="E18" s="5"/>
      <c r="F18" s="5"/>
      <c r="G18" s="187"/>
      <c r="H18" s="6"/>
    </row>
    <row r="19" spans="1:8" ht="13.5" thickBot="1">
      <c r="A19" s="7"/>
      <c r="B19" s="8"/>
      <c r="C19" s="8"/>
      <c r="D19" s="8"/>
      <c r="E19" s="8"/>
      <c r="F19" s="8"/>
      <c r="G19" s="8"/>
      <c r="H19" s="9"/>
    </row>
    <row r="20"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98" r:id="rId1"/>
  <headerFooter alignWithMargins="0">
    <oddHeader>&amp;CTotal Cost of Application Ownership (TCA) Calculator</oddHeader>
    <oddFooter>&amp;LThe Tolly Group TCA Calculator&amp;R© The Tolly Group, 1999</oddFooter>
  </headerFooter>
</worksheet>
</file>

<file path=xl/worksheets/sheet36.xml><?xml version="1.0" encoding="utf-8"?>
<worksheet xmlns="http://schemas.openxmlformats.org/spreadsheetml/2006/main" xmlns:r="http://schemas.openxmlformats.org/officeDocument/2006/relationships">
  <sheetPr codeName="Sheet93">
    <pageSetUpPr fitToPage="1"/>
  </sheetPr>
  <dimension ref="A1:O91"/>
  <sheetViews>
    <sheetView workbookViewId="0" topLeftCell="A52">
      <selection activeCell="D35" sqref="D35"/>
    </sheetView>
  </sheetViews>
  <sheetFormatPr defaultColWidth="9.140625" defaultRowHeight="12.75"/>
  <cols>
    <col min="2" max="2" width="10.00390625" style="0" customWidth="1"/>
    <col min="4" max="4" width="17.57421875" style="0" customWidth="1"/>
    <col min="5" max="5" width="13.421875" style="0" customWidth="1"/>
    <col min="6" max="6" width="17.00390625" style="0" customWidth="1"/>
    <col min="7" max="7" width="14.00390625" style="0" customWidth="1"/>
    <col min="8" max="8" width="8.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420</v>
      </c>
      <c r="C3" s="5"/>
      <c r="D3" s="5"/>
      <c r="E3" s="5"/>
      <c r="F3" s="5"/>
      <c r="G3" s="5"/>
      <c r="H3" s="6"/>
    </row>
    <row r="4" spans="1:8" ht="12.75">
      <c r="A4" s="4"/>
      <c r="B4" s="5"/>
      <c r="C4" s="5"/>
      <c r="D4" s="5"/>
      <c r="E4" s="5"/>
      <c r="F4" s="5"/>
      <c r="G4" s="5"/>
      <c r="H4" s="6"/>
    </row>
    <row r="5" spans="1:8" ht="12.75">
      <c r="A5" s="4"/>
      <c r="B5" s="15" t="s">
        <v>421</v>
      </c>
      <c r="C5" s="5"/>
      <c r="D5" s="5"/>
      <c r="E5" s="5" t="s">
        <v>172</v>
      </c>
      <c r="F5" s="5" t="s">
        <v>177</v>
      </c>
      <c r="G5" s="143" t="s">
        <v>41</v>
      </c>
      <c r="H5" s="6"/>
    </row>
    <row r="6" spans="1:8" ht="12.75">
      <c r="A6" s="4"/>
      <c r="B6" s="5"/>
      <c r="C6" s="76" t="s">
        <v>27</v>
      </c>
      <c r="D6" s="5"/>
      <c r="E6" s="136">
        <f>'Application Training'!F8</f>
        <v>1</v>
      </c>
      <c r="F6" s="189">
        <f>'Application Training'!H8</f>
        <v>1500</v>
      </c>
      <c r="G6" s="72">
        <f>F6*E6</f>
        <v>1500</v>
      </c>
      <c r="H6" s="6"/>
    </row>
    <row r="7" spans="1:8" ht="12.75">
      <c r="A7" s="4"/>
      <c r="B7" s="5"/>
      <c r="C7" s="76" t="s">
        <v>28</v>
      </c>
      <c r="D7" s="5"/>
      <c r="E7" s="136">
        <f>'Application Training'!F9</f>
        <v>10</v>
      </c>
      <c r="F7" s="189">
        <f>'Application Training'!H9</f>
        <v>1500</v>
      </c>
      <c r="G7" s="72">
        <f aca="true" t="shared" si="0" ref="G7:G19">F7*E7</f>
        <v>15000</v>
      </c>
      <c r="H7" s="6"/>
    </row>
    <row r="8" spans="1:8" ht="12.75">
      <c r="A8" s="4"/>
      <c r="B8" s="5"/>
      <c r="C8" s="76" t="s">
        <v>29</v>
      </c>
      <c r="D8" s="5"/>
      <c r="E8" s="136">
        <f>'Application Training'!F10</f>
        <v>1</v>
      </c>
      <c r="F8" s="189">
        <f>'Application Training'!H10</f>
        <v>1500</v>
      </c>
      <c r="G8" s="72">
        <f t="shared" si="0"/>
        <v>1500</v>
      </c>
      <c r="H8" s="6"/>
    </row>
    <row r="9" spans="1:8" ht="12.75">
      <c r="A9" s="4"/>
      <c r="B9" s="5"/>
      <c r="C9" s="77" t="s">
        <v>30</v>
      </c>
      <c r="D9" s="5"/>
      <c r="E9" s="136">
        <f>'Application Training'!F11</f>
        <v>0</v>
      </c>
      <c r="F9" s="189">
        <f>'Application Training'!H11</f>
        <v>1500</v>
      </c>
      <c r="G9" s="72">
        <f t="shared" si="0"/>
        <v>0</v>
      </c>
      <c r="H9" s="6"/>
    </row>
    <row r="10" spans="1:8" ht="12.75">
      <c r="A10" s="4"/>
      <c r="B10" s="5"/>
      <c r="C10" s="76" t="s">
        <v>31</v>
      </c>
      <c r="D10" s="5"/>
      <c r="E10" s="136">
        <f>'Application Training'!F12</f>
        <v>5</v>
      </c>
      <c r="F10" s="189">
        <f>'Application Training'!H12</f>
        <v>1500</v>
      </c>
      <c r="G10" s="72">
        <f t="shared" si="0"/>
        <v>7500</v>
      </c>
      <c r="H10" s="6"/>
    </row>
    <row r="11" spans="1:8" ht="12.75">
      <c r="A11" s="4"/>
      <c r="B11" s="5"/>
      <c r="C11" s="76" t="s">
        <v>32</v>
      </c>
      <c r="D11" s="5"/>
      <c r="E11" s="136">
        <f>'Application Training'!F13</f>
        <v>0</v>
      </c>
      <c r="F11" s="189">
        <f>'Application Training'!H13</f>
        <v>1500</v>
      </c>
      <c r="G11" s="72">
        <f t="shared" si="0"/>
        <v>0</v>
      </c>
      <c r="H11" s="6"/>
    </row>
    <row r="12" spans="1:8" ht="12.75">
      <c r="A12" s="4"/>
      <c r="B12" s="5"/>
      <c r="C12" s="76" t="s">
        <v>33</v>
      </c>
      <c r="D12" s="5"/>
      <c r="E12" s="136">
        <f>'Application Training'!F14</f>
        <v>5</v>
      </c>
      <c r="F12" s="189">
        <f>'Application Training'!H14</f>
        <v>1500</v>
      </c>
      <c r="G12" s="72">
        <f t="shared" si="0"/>
        <v>7500</v>
      </c>
      <c r="H12" s="6"/>
    </row>
    <row r="13" spans="1:8" ht="12.75">
      <c r="A13" s="4"/>
      <c r="B13" s="5"/>
      <c r="C13" s="76" t="s">
        <v>289</v>
      </c>
      <c r="D13" s="5"/>
      <c r="E13" s="136">
        <f>'Application Training'!F15</f>
        <v>25</v>
      </c>
      <c r="F13" s="189">
        <f>'Application Training'!H15</f>
        <v>1500</v>
      </c>
      <c r="G13" s="72">
        <f t="shared" si="0"/>
        <v>37500</v>
      </c>
      <c r="H13" s="6"/>
    </row>
    <row r="14" spans="1:8" ht="12.75">
      <c r="A14" s="4"/>
      <c r="B14" s="5"/>
      <c r="C14" s="76" t="s">
        <v>290</v>
      </c>
      <c r="D14" s="5"/>
      <c r="E14" s="136">
        <f>'Application Training'!F16</f>
        <v>1</v>
      </c>
      <c r="F14" s="189">
        <f>'Application Training'!H16</f>
        <v>1500</v>
      </c>
      <c r="G14" s="72">
        <f t="shared" si="0"/>
        <v>1500</v>
      </c>
      <c r="H14" s="6"/>
    </row>
    <row r="15" spans="1:8" ht="12.75">
      <c r="A15" s="4"/>
      <c r="B15" s="5"/>
      <c r="C15" s="76" t="s">
        <v>293</v>
      </c>
      <c r="D15" s="5"/>
      <c r="E15" s="136">
        <f>'Application Training'!F17</f>
        <v>0</v>
      </c>
      <c r="F15" s="189">
        <f>'Application Training'!H17</f>
        <v>1500</v>
      </c>
      <c r="G15" s="72">
        <f t="shared" si="0"/>
        <v>0</v>
      </c>
      <c r="H15" s="6"/>
    </row>
    <row r="16" spans="1:8" ht="12.75">
      <c r="A16" s="4"/>
      <c r="B16" s="5"/>
      <c r="C16" s="76" t="s">
        <v>34</v>
      </c>
      <c r="D16" s="5"/>
      <c r="E16" s="136">
        <f>'Application Training'!F18</f>
        <v>1</v>
      </c>
      <c r="F16" s="189">
        <f>'Application Training'!H18</f>
        <v>1500</v>
      </c>
      <c r="G16" s="72">
        <f t="shared" si="0"/>
        <v>1500</v>
      </c>
      <c r="H16" s="6"/>
    </row>
    <row r="17" spans="1:8" ht="12.75">
      <c r="A17" s="4"/>
      <c r="B17" s="5"/>
      <c r="C17" s="5" t="s">
        <v>48</v>
      </c>
      <c r="D17" s="5"/>
      <c r="E17" s="136">
        <f>'Application Training'!F19</f>
        <v>1625</v>
      </c>
      <c r="F17" s="189">
        <f>'Application Training'!H19</f>
        <v>1200</v>
      </c>
      <c r="G17" s="72">
        <f t="shared" si="0"/>
        <v>1950000</v>
      </c>
      <c r="H17" s="6"/>
    </row>
    <row r="18" spans="1:8" ht="12.75">
      <c r="A18" s="4"/>
      <c r="B18" s="5"/>
      <c r="C18" s="5" t="s">
        <v>270</v>
      </c>
      <c r="D18" s="5"/>
      <c r="E18" s="136">
        <f>'Application Training'!F20</f>
        <v>625</v>
      </c>
      <c r="F18" s="189">
        <f>'Application Training'!H20</f>
        <v>800</v>
      </c>
      <c r="G18" s="72">
        <f t="shared" si="0"/>
        <v>500000</v>
      </c>
      <c r="H18" s="6"/>
    </row>
    <row r="19" spans="1:8" ht="13.5" thickBot="1">
      <c r="A19" s="4"/>
      <c r="B19" s="22"/>
      <c r="C19" s="22" t="s">
        <v>49</v>
      </c>
      <c r="D19" s="22"/>
      <c r="E19" s="137">
        <f>'Application Training'!F21</f>
        <v>250</v>
      </c>
      <c r="F19" s="188">
        <f>'Application Training'!H21</f>
        <v>500</v>
      </c>
      <c r="G19" s="57">
        <f t="shared" si="0"/>
        <v>125000</v>
      </c>
      <c r="H19" s="6"/>
    </row>
    <row r="20" spans="1:8" ht="13.5" thickTop="1">
      <c r="A20" s="4"/>
      <c r="B20" s="5" t="s">
        <v>269</v>
      </c>
      <c r="C20" s="5"/>
      <c r="D20" s="5"/>
      <c r="E20" s="5"/>
      <c r="F20" s="5"/>
      <c r="G20" s="31">
        <f>SUM(G6:G19)</f>
        <v>2648500</v>
      </c>
      <c r="H20" s="6"/>
    </row>
    <row r="21" spans="1:8" ht="12.75">
      <c r="A21" s="4"/>
      <c r="B21" s="5"/>
      <c r="C21" s="5"/>
      <c r="D21" s="5"/>
      <c r="E21" s="5"/>
      <c r="F21" s="5"/>
      <c r="G21" s="31"/>
      <c r="H21" s="6"/>
    </row>
    <row r="22" spans="1:8" ht="12.75">
      <c r="A22" s="4"/>
      <c r="B22" s="15" t="s">
        <v>419</v>
      </c>
      <c r="C22" s="5"/>
      <c r="D22" s="5"/>
      <c r="E22" s="5"/>
      <c r="F22" s="5"/>
      <c r="G22" s="31"/>
      <c r="H22" s="6"/>
    </row>
    <row r="23" spans="1:8" ht="12.75">
      <c r="A23" s="4"/>
      <c r="B23" s="5"/>
      <c r="C23" s="5"/>
      <c r="D23" s="5"/>
      <c r="E23" s="5" t="s">
        <v>172</v>
      </c>
      <c r="F23" s="5" t="s">
        <v>178</v>
      </c>
      <c r="G23" s="31"/>
      <c r="H23" s="6"/>
    </row>
    <row r="24" spans="1:8" ht="12.75">
      <c r="A24" s="4"/>
      <c r="B24" s="76" t="s">
        <v>27</v>
      </c>
      <c r="C24" s="5"/>
      <c r="D24" s="5"/>
      <c r="E24" s="138">
        <f>'Fat-Application Training'!E24</f>
        <v>1</v>
      </c>
      <c r="F24" s="103">
        <f>'Fat-Application Training'!F24</f>
        <v>35</v>
      </c>
      <c r="G24" s="20">
        <f>F24*'FatClient Base Data'!G10*E24</f>
        <v>1406.7307692307693</v>
      </c>
      <c r="H24" s="6"/>
    </row>
    <row r="25" spans="1:8" ht="12.75">
      <c r="A25" s="4"/>
      <c r="B25" s="76" t="s">
        <v>28</v>
      </c>
      <c r="C25" s="5"/>
      <c r="D25" s="5"/>
      <c r="E25" s="138">
        <f>'Fat-Application Training'!E25</f>
        <v>10</v>
      </c>
      <c r="F25" s="103">
        <f>'Fat-Application Training'!F25</f>
        <v>35</v>
      </c>
      <c r="G25" s="20">
        <f>F25*'FatClient Base Data'!G11*E25</f>
        <v>11509.615384615387</v>
      </c>
      <c r="H25" s="6"/>
    </row>
    <row r="26" spans="1:8" ht="12.75">
      <c r="A26" s="4"/>
      <c r="B26" s="76" t="s">
        <v>29</v>
      </c>
      <c r="C26" s="5"/>
      <c r="D26" s="5"/>
      <c r="E26" s="138">
        <f>'Fat-Application Training'!E26</f>
        <v>1</v>
      </c>
      <c r="F26" s="103">
        <f>'Fat-Application Training'!F26</f>
        <v>35</v>
      </c>
      <c r="G26" s="20">
        <f>F26*'FatClient Base Data'!G12*E26</f>
        <v>1662.5</v>
      </c>
      <c r="H26" s="6"/>
    </row>
    <row r="27" spans="1:8" ht="12.75">
      <c r="A27" s="4"/>
      <c r="B27" s="77" t="s">
        <v>30</v>
      </c>
      <c r="C27" s="5"/>
      <c r="D27" s="5"/>
      <c r="E27" s="138">
        <f>'Fat-Application Training'!E27</f>
        <v>0</v>
      </c>
      <c r="F27" s="103">
        <f>'Fat-Application Training'!F27</f>
        <v>35</v>
      </c>
      <c r="G27" s="20">
        <f>F27*'FatClient Base Data'!G13*E27</f>
        <v>0</v>
      </c>
      <c r="H27" s="6"/>
    </row>
    <row r="28" spans="1:8" ht="12.75">
      <c r="A28" s="4"/>
      <c r="B28" s="76" t="s">
        <v>31</v>
      </c>
      <c r="C28" s="5"/>
      <c r="D28" s="5"/>
      <c r="E28" s="138">
        <f>'Fat-Application Training'!E28</f>
        <v>5</v>
      </c>
      <c r="F28" s="103">
        <f>'Fat-Application Training'!F28</f>
        <v>35</v>
      </c>
      <c r="G28" s="20">
        <f>F28*'FatClient Base Data'!G14*E28</f>
        <v>8312.5</v>
      </c>
      <c r="H28" s="6"/>
    </row>
    <row r="29" spans="1:8" ht="12.75">
      <c r="A29" s="4"/>
      <c r="B29" s="76" t="s">
        <v>32</v>
      </c>
      <c r="C29" s="5"/>
      <c r="D29" s="5"/>
      <c r="E29" s="138">
        <f>'Fat-Application Training'!E29</f>
        <v>0</v>
      </c>
      <c r="F29" s="103">
        <f>'Fat-Application Training'!F29</f>
        <v>35</v>
      </c>
      <c r="G29" s="20">
        <f>F29*'FatClient Base Data'!G15*E29</f>
        <v>0</v>
      </c>
      <c r="H29" s="6"/>
    </row>
    <row r="30" spans="1:8" ht="12.75">
      <c r="A30" s="4"/>
      <c r="B30" s="76" t="s">
        <v>33</v>
      </c>
      <c r="C30" s="5"/>
      <c r="D30" s="5"/>
      <c r="E30" s="138">
        <f>'Fat-Application Training'!E30</f>
        <v>5</v>
      </c>
      <c r="F30" s="103">
        <f>'Fat-Application Training'!F30</f>
        <v>35</v>
      </c>
      <c r="G30" s="20">
        <f>F30*'FatClient Base Data'!G16*E30</f>
        <v>8760.096153846154</v>
      </c>
      <c r="H30" s="6"/>
    </row>
    <row r="31" spans="1:8" ht="12.75">
      <c r="A31" s="4"/>
      <c r="B31" s="76" t="s">
        <v>289</v>
      </c>
      <c r="C31" s="5"/>
      <c r="D31" s="5"/>
      <c r="E31" s="138">
        <f>'Fat-Application Training'!E31</f>
        <v>25</v>
      </c>
      <c r="F31" s="103">
        <f>'Fat-Application Training'!F31</f>
        <v>35</v>
      </c>
      <c r="G31" s="20">
        <f>F31*'FatClient Base Data'!G17*E31</f>
        <v>33250</v>
      </c>
      <c r="H31" s="6"/>
    </row>
    <row r="32" spans="1:8" ht="12.75">
      <c r="A32" s="4"/>
      <c r="B32" s="76" t="s">
        <v>290</v>
      </c>
      <c r="C32" s="5"/>
      <c r="D32" s="5"/>
      <c r="E32" s="138">
        <f>'Fat-Application Training'!E32</f>
        <v>1</v>
      </c>
      <c r="F32" s="103">
        <f>'Fat-Application Training'!F32</f>
        <v>35</v>
      </c>
      <c r="G32" s="20">
        <f>F32*'FatClient Base Data'!G18*E32</f>
        <v>1918.2692307692307</v>
      </c>
      <c r="H32" s="6"/>
    </row>
    <row r="33" spans="1:8" ht="12.75">
      <c r="A33" s="4"/>
      <c r="B33" s="76" t="s">
        <v>293</v>
      </c>
      <c r="C33" s="5"/>
      <c r="D33" s="5"/>
      <c r="E33" s="138">
        <f>'Fat-Application Training'!E33</f>
        <v>0</v>
      </c>
      <c r="F33" s="103">
        <f>'Fat-Application Training'!F33</f>
        <v>35</v>
      </c>
      <c r="G33" s="20">
        <f>F33*'FatClient Base Data'!G19*E33</f>
        <v>0</v>
      </c>
      <c r="H33" s="6"/>
    </row>
    <row r="34" spans="1:8" ht="12.75">
      <c r="A34" s="4"/>
      <c r="B34" s="76" t="s">
        <v>34</v>
      </c>
      <c r="C34" s="5"/>
      <c r="D34" s="5"/>
      <c r="E34" s="138">
        <f>'Fat-Application Training'!E34</f>
        <v>1</v>
      </c>
      <c r="F34" s="103">
        <f>'Fat-Application Training'!F34</f>
        <v>35</v>
      </c>
      <c r="G34" s="20">
        <f>F34*'FatClient Base Data'!G20*E34</f>
        <v>1112.5961538461538</v>
      </c>
      <c r="H34" s="6"/>
    </row>
    <row r="35" spans="1:8" ht="12.75">
      <c r="A35" s="4"/>
      <c r="B35" s="5" t="s">
        <v>48</v>
      </c>
      <c r="C35" s="5"/>
      <c r="D35" s="5"/>
      <c r="E35" s="136">
        <f>0.65*'Front End'!G3</f>
        <v>1625</v>
      </c>
      <c r="F35" s="103">
        <f>'Fat-Application Training'!F35</f>
        <v>20</v>
      </c>
      <c r="G35" s="20">
        <f>F35*'FatClient Base Data'!G25*E35</f>
        <v>950000</v>
      </c>
      <c r="H35" s="6"/>
    </row>
    <row r="36" spans="1:8" ht="12.75">
      <c r="A36" s="4"/>
      <c r="B36" s="5" t="s">
        <v>270</v>
      </c>
      <c r="C36" s="5"/>
      <c r="D36" s="5"/>
      <c r="E36" s="136">
        <f>0.25*'Front End'!G3</f>
        <v>625</v>
      </c>
      <c r="F36" s="103">
        <f>'Fat-Application Training'!F36</f>
        <v>8</v>
      </c>
      <c r="G36" s="20">
        <f>F36*'FatClient Base Data'!G26*E36</f>
        <v>292307.6923076923</v>
      </c>
      <c r="H36" s="6"/>
    </row>
    <row r="37" spans="1:8" ht="13.5" thickBot="1">
      <c r="A37" s="4"/>
      <c r="B37" s="22" t="s">
        <v>49</v>
      </c>
      <c r="C37" s="22"/>
      <c r="D37" s="22"/>
      <c r="E37" s="137">
        <f>0.1*'Front End'!G3</f>
        <v>250</v>
      </c>
      <c r="F37" s="103">
        <f>'Fat-Application Training'!F37</f>
        <v>2</v>
      </c>
      <c r="G37" s="79">
        <f>F37*'FatClient Base Data'!G27*E37</f>
        <v>54807.692307692305</v>
      </c>
      <c r="H37" s="6"/>
    </row>
    <row r="38" spans="1:8" ht="13.5" thickTop="1">
      <c r="A38" s="4"/>
      <c r="B38" s="76" t="s">
        <v>269</v>
      </c>
      <c r="C38" s="5"/>
      <c r="D38" s="5"/>
      <c r="E38" s="5"/>
      <c r="F38" s="5"/>
      <c r="G38" s="31">
        <f>SUM(G24:G37)</f>
        <v>1365047.6923076923</v>
      </c>
      <c r="H38" s="6"/>
    </row>
    <row r="39" spans="1:8" ht="13.5" thickBot="1">
      <c r="A39" s="4"/>
      <c r="B39" s="5"/>
      <c r="C39" s="5"/>
      <c r="D39" s="5"/>
      <c r="E39" s="5"/>
      <c r="F39" s="5"/>
      <c r="G39" s="31"/>
      <c r="H39" s="6"/>
    </row>
    <row r="40" spans="1:8" ht="14.25" thickBot="1" thickTop="1">
      <c r="A40" s="4"/>
      <c r="B40" s="37" t="s">
        <v>513</v>
      </c>
      <c r="C40" s="38"/>
      <c r="D40" s="38"/>
      <c r="E40" s="38"/>
      <c r="F40" s="38"/>
      <c r="G40" s="39">
        <f>SUM(G38,G20)</f>
        <v>4013547.692307692</v>
      </c>
      <c r="H40" s="6"/>
    </row>
    <row r="41" spans="1:8" ht="13.5" thickTop="1">
      <c r="A41" s="4"/>
      <c r="B41" s="5"/>
      <c r="C41" s="5"/>
      <c r="D41" s="5"/>
      <c r="E41" s="5"/>
      <c r="F41" s="5"/>
      <c r="G41" s="5"/>
      <c r="H41" s="6"/>
    </row>
    <row r="42" spans="1:8" ht="13.5" thickBot="1">
      <c r="A42" s="7"/>
      <c r="B42" s="8"/>
      <c r="C42" s="8"/>
      <c r="D42" s="8"/>
      <c r="E42" s="8"/>
      <c r="F42" s="8"/>
      <c r="G42" s="8"/>
      <c r="H42" s="9"/>
    </row>
    <row r="43" ht="13.5" thickTop="1"/>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60">
      <c r="A55" s="134" t="s">
        <v>249</v>
      </c>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60">
      <c r="A63" s="134"/>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60">
      <c r="A74" s="133"/>
      <c r="B74" s="133"/>
      <c r="C74" s="133"/>
      <c r="D74" s="134"/>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sheetData>
  <sheetProtection password="D023" sheet="1" objects="1" scenarios="1"/>
  <printOptions/>
  <pageMargins left="0.75" right="0.75" top="1" bottom="1" header="0.5" footer="0.5"/>
  <pageSetup fitToHeight="1" fitToWidth="1" horizontalDpi="600" verticalDpi="600" orientation="portrait" scale="92" r:id="rId1"/>
  <headerFooter alignWithMargins="0">
    <oddHeader>&amp;CTotal Cost of Application Ownership (TCA) Calculator</oddHeader>
    <oddFooter>&amp;LThe Tolly Group TCA Calculator&amp;R© The Tolly Group, 1999</oddFooter>
  </headerFooter>
</worksheet>
</file>

<file path=xl/worksheets/sheet37.xml><?xml version="1.0" encoding="utf-8"?>
<worksheet xmlns="http://schemas.openxmlformats.org/spreadsheetml/2006/main" xmlns:r="http://schemas.openxmlformats.org/officeDocument/2006/relationships">
  <sheetPr codeName="Sheet27">
    <pageSetUpPr fitToPage="1"/>
  </sheetPr>
  <dimension ref="A1:O129"/>
  <sheetViews>
    <sheetView workbookViewId="0" topLeftCell="A90">
      <selection activeCell="G6" sqref="G6"/>
    </sheetView>
  </sheetViews>
  <sheetFormatPr defaultColWidth="9.140625" defaultRowHeight="12.75"/>
  <cols>
    <col min="2" max="2" width="10.421875" style="0" customWidth="1"/>
    <col min="6" max="6" width="15.421875" style="0" customWidth="1"/>
    <col min="7" max="7" width="14.421875" style="0" customWidth="1"/>
    <col min="8" max="8" width="14.0039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424</v>
      </c>
      <c r="C3" s="5"/>
      <c r="D3" s="5"/>
      <c r="E3" s="5"/>
      <c r="F3" s="5"/>
      <c r="G3" s="5"/>
      <c r="H3" s="5"/>
      <c r="I3" s="6"/>
    </row>
    <row r="4" spans="1:9" ht="12.75">
      <c r="A4" s="4"/>
      <c r="B4" s="5"/>
      <c r="C4" s="5"/>
      <c r="D4" s="5"/>
      <c r="E4" s="5"/>
      <c r="F4" s="5"/>
      <c r="G4" s="51" t="s">
        <v>1</v>
      </c>
      <c r="H4" s="51"/>
      <c r="I4" s="6"/>
    </row>
    <row r="5" spans="1:9" ht="18" customHeight="1">
      <c r="A5" s="58"/>
      <c r="B5" s="30" t="s">
        <v>425</v>
      </c>
      <c r="C5" s="5"/>
      <c r="D5" s="5"/>
      <c r="E5" s="5"/>
      <c r="F5" s="5" t="s">
        <v>265</v>
      </c>
      <c r="G5" s="51" t="s">
        <v>101</v>
      </c>
      <c r="H5" s="142" t="s">
        <v>41</v>
      </c>
      <c r="I5" s="6"/>
    </row>
    <row r="6" spans="1:9" ht="12.75" customHeight="1">
      <c r="A6" s="4"/>
      <c r="B6" s="59"/>
      <c r="C6" s="5" t="s">
        <v>12</v>
      </c>
      <c r="D6" s="5"/>
      <c r="E6" s="5"/>
      <c r="F6" s="94">
        <f>'Hardware Procurement'!G7</f>
        <v>4000</v>
      </c>
      <c r="G6" s="160">
        <f>'Hardware Procurement'!I7</f>
        <v>4</v>
      </c>
      <c r="H6" s="31">
        <f aca="true" t="shared" si="0" ref="H6:H15">F6*G6</f>
        <v>16000</v>
      </c>
      <c r="I6" s="6"/>
    </row>
    <row r="7" spans="1:9" ht="12.75">
      <c r="A7" s="4"/>
      <c r="B7" s="5"/>
      <c r="C7" s="5" t="s">
        <v>102</v>
      </c>
      <c r="D7" s="5"/>
      <c r="E7" s="5"/>
      <c r="F7" s="94">
        <f>'Hardware Procurement'!G8</f>
        <v>1100</v>
      </c>
      <c r="G7" s="160">
        <f>'Hardware Procurement'!I8</f>
        <v>24</v>
      </c>
      <c r="H7" s="31">
        <f t="shared" si="0"/>
        <v>26400</v>
      </c>
      <c r="I7" s="6"/>
    </row>
    <row r="8" spans="1:9" ht="12.75">
      <c r="A8" s="4"/>
      <c r="B8" s="5"/>
      <c r="C8" s="5" t="s">
        <v>103</v>
      </c>
      <c r="D8" s="5"/>
      <c r="E8" s="5"/>
      <c r="F8" s="94">
        <f>'Hardware Procurement'!G9</f>
        <v>260</v>
      </c>
      <c r="G8" s="160">
        <f>'Hardware Procurement'!I9</f>
        <v>4</v>
      </c>
      <c r="H8" s="31">
        <f t="shared" si="0"/>
        <v>1040</v>
      </c>
      <c r="I8" s="6"/>
    </row>
    <row r="9" spans="1:9" ht="12.75">
      <c r="A9" s="4"/>
      <c r="B9" s="5"/>
      <c r="C9" s="5" t="s">
        <v>104</v>
      </c>
      <c r="D9" s="5"/>
      <c r="E9" s="5"/>
      <c r="F9" s="94">
        <f>'Hardware Procurement'!G10</f>
        <v>800</v>
      </c>
      <c r="G9" s="160">
        <f>'Hardware Procurement'!I10</f>
        <v>4</v>
      </c>
      <c r="H9" s="31">
        <f t="shared" si="0"/>
        <v>3200</v>
      </c>
      <c r="I9" s="6"/>
    </row>
    <row r="10" spans="1:9" ht="12.75">
      <c r="A10" s="4"/>
      <c r="B10" s="5"/>
      <c r="C10" s="5" t="s">
        <v>250</v>
      </c>
      <c r="D10" s="5"/>
      <c r="E10" s="5"/>
      <c r="F10" s="94">
        <f>'Hardware Procurement'!G11</f>
        <v>150</v>
      </c>
      <c r="G10" s="160">
        <f>'Hardware Procurement'!I11</f>
        <v>4</v>
      </c>
      <c r="H10" s="31">
        <f t="shared" si="0"/>
        <v>600</v>
      </c>
      <c r="I10" s="6"/>
    </row>
    <row r="11" spans="1:9" ht="12.75">
      <c r="A11" s="4"/>
      <c r="B11" s="5"/>
      <c r="C11" s="5" t="s">
        <v>105</v>
      </c>
      <c r="D11" s="5"/>
      <c r="E11" s="5"/>
      <c r="F11" s="94">
        <f>'Hardware Procurement'!G12</f>
        <v>1200</v>
      </c>
      <c r="G11" s="160">
        <f>'Hardware Procurement'!I12</f>
        <v>4</v>
      </c>
      <c r="H11" s="31">
        <f t="shared" si="0"/>
        <v>4800</v>
      </c>
      <c r="I11" s="6"/>
    </row>
    <row r="12" spans="1:9" ht="12.75">
      <c r="A12" s="4"/>
      <c r="B12" s="5"/>
      <c r="C12" s="5" t="s">
        <v>251</v>
      </c>
      <c r="D12" s="5"/>
      <c r="E12" s="5"/>
      <c r="F12" s="94">
        <f>'Hardware Procurement'!G13</f>
        <v>5000</v>
      </c>
      <c r="G12" s="160">
        <f>'Hardware Procurement'!I13</f>
        <v>4</v>
      </c>
      <c r="H12" s="31">
        <f t="shared" si="0"/>
        <v>20000</v>
      </c>
      <c r="I12" s="6"/>
    </row>
    <row r="13" spans="1:9" ht="12.75">
      <c r="A13" s="4"/>
      <c r="B13" s="5"/>
      <c r="C13" s="5" t="s">
        <v>252</v>
      </c>
      <c r="D13" s="5"/>
      <c r="E13" s="5"/>
      <c r="F13" s="94">
        <f>'Hardware Procurement'!G14</f>
        <v>900</v>
      </c>
      <c r="G13" s="160">
        <f>'Hardware Procurement'!I14</f>
        <v>4</v>
      </c>
      <c r="H13" s="31">
        <f t="shared" si="0"/>
        <v>3600</v>
      </c>
      <c r="I13" s="6"/>
    </row>
    <row r="14" spans="1:9" ht="12.75">
      <c r="A14" s="4"/>
      <c r="B14" s="5"/>
      <c r="C14" s="5" t="s">
        <v>253</v>
      </c>
      <c r="D14" s="5"/>
      <c r="E14" s="5"/>
      <c r="F14" s="94">
        <f>'Hardware Procurement'!G15</f>
        <v>550</v>
      </c>
      <c r="G14" s="160">
        <f>'Hardware Procurement'!I15</f>
        <v>4</v>
      </c>
      <c r="H14" s="31">
        <f t="shared" si="0"/>
        <v>2200</v>
      </c>
      <c r="I14" s="6"/>
    </row>
    <row r="15" spans="1:9" ht="13.5" thickBot="1">
      <c r="A15" s="52"/>
      <c r="B15" s="22"/>
      <c r="C15" s="22" t="s">
        <v>25</v>
      </c>
      <c r="D15" s="22"/>
      <c r="E15" s="22"/>
      <c r="F15" s="288">
        <f>'Hardware Procurement'!G16</f>
        <v>0</v>
      </c>
      <c r="G15" s="161">
        <f>'Hardware Procurement'!I16</f>
        <v>4</v>
      </c>
      <c r="H15" s="35">
        <f t="shared" si="0"/>
        <v>0</v>
      </c>
      <c r="I15" s="6"/>
    </row>
    <row r="16" spans="1:9" ht="13.5" thickTop="1">
      <c r="A16" s="4"/>
      <c r="B16" s="5" t="s">
        <v>269</v>
      </c>
      <c r="C16" s="5"/>
      <c r="D16" s="5"/>
      <c r="E16" s="5"/>
      <c r="F16" s="31"/>
      <c r="G16" s="5"/>
      <c r="H16" s="31">
        <f>SUM(H6:H15)</f>
        <v>77840</v>
      </c>
      <c r="I16" s="6"/>
    </row>
    <row r="17" spans="1:9" ht="12.75" customHeight="1">
      <c r="A17" s="4"/>
      <c r="B17" s="5"/>
      <c r="C17" s="5"/>
      <c r="D17" s="5"/>
      <c r="E17" s="5"/>
      <c r="F17" s="31"/>
      <c r="G17" s="5"/>
      <c r="H17" s="5"/>
      <c r="I17" s="6"/>
    </row>
    <row r="18" spans="1:9" ht="15" customHeight="1">
      <c r="A18" s="14"/>
      <c r="B18" s="30" t="s">
        <v>426</v>
      </c>
      <c r="C18" s="5"/>
      <c r="D18" s="5"/>
      <c r="E18" s="5"/>
      <c r="F18" s="31"/>
      <c r="G18" s="5"/>
      <c r="H18" s="5"/>
      <c r="I18" s="6"/>
    </row>
    <row r="19" spans="1:9" ht="12.75" customHeight="1">
      <c r="A19" s="14"/>
      <c r="B19" s="59"/>
      <c r="C19" s="5" t="s">
        <v>12</v>
      </c>
      <c r="D19" s="5"/>
      <c r="E19" s="5"/>
      <c r="F19" s="85">
        <f>'Hardware Procurement'!G19</f>
        <v>4000</v>
      </c>
      <c r="G19" s="88">
        <f>'Hardware Procurement'!I19</f>
        <v>1</v>
      </c>
      <c r="H19" s="31">
        <f aca="true" t="shared" si="1" ref="H19:H28">F19*G19</f>
        <v>4000</v>
      </c>
      <c r="I19" s="6"/>
    </row>
    <row r="20" spans="1:9" ht="12.75" customHeight="1">
      <c r="A20" s="14"/>
      <c r="B20" s="59"/>
      <c r="C20" s="5" t="s">
        <v>102</v>
      </c>
      <c r="D20" s="5"/>
      <c r="E20" s="5"/>
      <c r="F20" s="85">
        <f>'Hardware Procurement'!G20</f>
        <v>1100</v>
      </c>
      <c r="G20" s="88">
        <f>'Hardware Procurement'!I20</f>
        <v>6</v>
      </c>
      <c r="H20" s="31">
        <f t="shared" si="1"/>
        <v>6600</v>
      </c>
      <c r="I20" s="6"/>
    </row>
    <row r="21" spans="1:9" ht="12.75" customHeight="1">
      <c r="A21" s="14"/>
      <c r="B21" s="59"/>
      <c r="C21" s="5" t="s">
        <v>103</v>
      </c>
      <c r="D21" s="5"/>
      <c r="E21" s="5"/>
      <c r="F21" s="85">
        <f>'Hardware Procurement'!G21</f>
        <v>260</v>
      </c>
      <c r="G21" s="88">
        <f>'Hardware Procurement'!I21</f>
        <v>1</v>
      </c>
      <c r="H21" s="31">
        <f t="shared" si="1"/>
        <v>260</v>
      </c>
      <c r="I21" s="6"/>
    </row>
    <row r="22" spans="1:9" ht="12.75" customHeight="1">
      <c r="A22" s="14"/>
      <c r="B22" s="59"/>
      <c r="C22" s="5" t="s">
        <v>104</v>
      </c>
      <c r="D22" s="5"/>
      <c r="E22" s="5"/>
      <c r="F22" s="85">
        <f>'Hardware Procurement'!G22</f>
        <v>800</v>
      </c>
      <c r="G22" s="88">
        <f>'Hardware Procurement'!I22</f>
        <v>1</v>
      </c>
      <c r="H22" s="31">
        <f t="shared" si="1"/>
        <v>800</v>
      </c>
      <c r="I22" s="6"/>
    </row>
    <row r="23" spans="1:9" ht="12.75" customHeight="1">
      <c r="A23" s="14"/>
      <c r="B23" s="59"/>
      <c r="C23" s="5" t="s">
        <v>250</v>
      </c>
      <c r="D23" s="5"/>
      <c r="E23" s="5"/>
      <c r="F23" s="85">
        <f>'Hardware Procurement'!G23</f>
        <v>150</v>
      </c>
      <c r="G23" s="88">
        <f>'Hardware Procurement'!I23</f>
        <v>1</v>
      </c>
      <c r="H23" s="31">
        <f t="shared" si="1"/>
        <v>150</v>
      </c>
      <c r="I23" s="6"/>
    </row>
    <row r="24" spans="1:9" ht="12.75" customHeight="1">
      <c r="A24" s="14"/>
      <c r="B24" s="59"/>
      <c r="C24" s="5" t="s">
        <v>105</v>
      </c>
      <c r="D24" s="5"/>
      <c r="E24" s="5"/>
      <c r="F24" s="85">
        <f>'Hardware Procurement'!G24</f>
        <v>1200</v>
      </c>
      <c r="G24" s="88">
        <f>'Hardware Procurement'!I24</f>
        <v>1</v>
      </c>
      <c r="H24" s="31">
        <f t="shared" si="1"/>
        <v>1200</v>
      </c>
      <c r="I24" s="6"/>
    </row>
    <row r="25" spans="1:9" ht="12.75" customHeight="1">
      <c r="A25" s="14"/>
      <c r="B25" s="59"/>
      <c r="C25" s="5" t="s">
        <v>251</v>
      </c>
      <c r="D25" s="5"/>
      <c r="E25" s="5"/>
      <c r="F25" s="85">
        <f>'Hardware Procurement'!G25</f>
        <v>5000</v>
      </c>
      <c r="G25" s="88">
        <f>'Hardware Procurement'!I25</f>
        <v>0</v>
      </c>
      <c r="H25" s="31">
        <f t="shared" si="1"/>
        <v>0</v>
      </c>
      <c r="I25" s="6"/>
    </row>
    <row r="26" spans="1:9" ht="12.75" customHeight="1">
      <c r="A26" s="14"/>
      <c r="B26" s="59"/>
      <c r="C26" s="5" t="s">
        <v>252</v>
      </c>
      <c r="D26" s="5"/>
      <c r="E26" s="5"/>
      <c r="F26" s="85">
        <f>'Hardware Procurement'!G26</f>
        <v>900</v>
      </c>
      <c r="G26" s="88">
        <f>'Hardware Procurement'!I26</f>
        <v>1</v>
      </c>
      <c r="H26" s="31">
        <f t="shared" si="1"/>
        <v>900</v>
      </c>
      <c r="I26" s="6"/>
    </row>
    <row r="27" spans="1:9" ht="12.75">
      <c r="A27" s="4"/>
      <c r="B27" s="59"/>
      <c r="C27" s="5" t="s">
        <v>253</v>
      </c>
      <c r="D27" s="5"/>
      <c r="E27" s="5"/>
      <c r="F27" s="85">
        <f>'Hardware Procurement'!G27</f>
        <v>550</v>
      </c>
      <c r="G27" s="88">
        <f>'Hardware Procurement'!I27</f>
        <v>1</v>
      </c>
      <c r="H27" s="31">
        <f t="shared" si="1"/>
        <v>550</v>
      </c>
      <c r="I27" s="6"/>
    </row>
    <row r="28" spans="1:9" ht="13.5" thickBot="1">
      <c r="A28" s="52"/>
      <c r="B28" s="60"/>
      <c r="C28" s="22" t="s">
        <v>25</v>
      </c>
      <c r="D28" s="22"/>
      <c r="E28" s="22"/>
      <c r="F28" s="91">
        <f>'Hardware Procurement'!G28</f>
        <v>0</v>
      </c>
      <c r="G28" s="89">
        <f>'Hardware Procurement'!I28</f>
        <v>0</v>
      </c>
      <c r="H28" s="35">
        <f t="shared" si="1"/>
        <v>0</v>
      </c>
      <c r="I28" s="6"/>
    </row>
    <row r="29" spans="1:9" ht="13.5" thickTop="1">
      <c r="A29" s="4"/>
      <c r="B29" s="5" t="s">
        <v>269</v>
      </c>
      <c r="C29" s="5"/>
      <c r="D29" s="5"/>
      <c r="E29" s="5"/>
      <c r="F29" s="31"/>
      <c r="G29" s="5"/>
      <c r="H29" s="31">
        <f>SUM(H19:H28)</f>
        <v>14460</v>
      </c>
      <c r="I29" s="6"/>
    </row>
    <row r="30" spans="1:9" ht="12.75" customHeight="1">
      <c r="A30" s="4"/>
      <c r="B30" s="5"/>
      <c r="C30" s="5"/>
      <c r="D30" s="5"/>
      <c r="E30" s="5"/>
      <c r="F30" s="31"/>
      <c r="G30" s="5"/>
      <c r="H30" s="5"/>
      <c r="I30" s="6"/>
    </row>
    <row r="31" spans="1:9" ht="15.75">
      <c r="A31" s="14"/>
      <c r="B31" s="30" t="s">
        <v>427</v>
      </c>
      <c r="C31" s="5"/>
      <c r="D31" s="5"/>
      <c r="E31" s="5"/>
      <c r="F31" s="31"/>
      <c r="G31" s="5"/>
      <c r="H31" s="5"/>
      <c r="I31" s="6"/>
    </row>
    <row r="32" spans="1:9" ht="12.75">
      <c r="A32" s="4"/>
      <c r="B32" s="5"/>
      <c r="C32" s="5" t="s">
        <v>107</v>
      </c>
      <c r="D32" s="5"/>
      <c r="E32" s="5"/>
      <c r="F32" s="85">
        <f>'Hardware Procurement'!G31</f>
        <v>2000</v>
      </c>
      <c r="G32" s="88">
        <f>'Hardware Procurement'!J31</f>
        <v>500</v>
      </c>
      <c r="H32" s="31">
        <f aca="true" t="shared" si="2" ref="H32:H39">F32*G32</f>
        <v>1000000</v>
      </c>
      <c r="I32" s="6"/>
    </row>
    <row r="33" spans="1:9" ht="12.75">
      <c r="A33" s="4"/>
      <c r="B33" s="5"/>
      <c r="C33" s="5" t="s">
        <v>108</v>
      </c>
      <c r="D33" s="5"/>
      <c r="E33" s="5"/>
      <c r="F33" s="85">
        <f>'Hardware Procurement'!G32</f>
        <v>1500</v>
      </c>
      <c r="G33" s="88">
        <f>'Hardware Procurement'!J32</f>
        <v>0</v>
      </c>
      <c r="H33" s="31">
        <f t="shared" si="2"/>
        <v>0</v>
      </c>
      <c r="I33" s="6"/>
    </row>
    <row r="34" spans="1:9" ht="12.75">
      <c r="A34" s="4"/>
      <c r="B34" s="5"/>
      <c r="C34" s="5" t="s">
        <v>109</v>
      </c>
      <c r="D34" s="5"/>
      <c r="E34" s="5"/>
      <c r="F34" s="85">
        <f>'Hardware Procurement'!G33</f>
        <v>1200</v>
      </c>
      <c r="G34" s="88">
        <f>'Hardware Procurement'!J33</f>
        <v>0</v>
      </c>
      <c r="H34" s="31">
        <f t="shared" si="2"/>
        <v>0</v>
      </c>
      <c r="I34" s="6"/>
    </row>
    <row r="35" spans="1:9" ht="12.75">
      <c r="A35" s="4"/>
      <c r="B35" s="5"/>
      <c r="C35" s="5" t="s">
        <v>110</v>
      </c>
      <c r="D35" s="5"/>
      <c r="E35" s="5"/>
      <c r="F35" s="85">
        <f>'Hardware Procurement'!G34</f>
        <v>2000</v>
      </c>
      <c r="G35" s="88">
        <f>'Hardware Procurement'!J34</f>
        <v>0</v>
      </c>
      <c r="H35" s="31">
        <f t="shared" si="2"/>
        <v>0</v>
      </c>
      <c r="I35" s="6"/>
    </row>
    <row r="36" spans="1:9" ht="12.75">
      <c r="A36" s="4"/>
      <c r="B36" s="5"/>
      <c r="C36" s="5"/>
      <c r="D36" s="5" t="s">
        <v>111</v>
      </c>
      <c r="E36" s="5"/>
      <c r="F36" s="85">
        <f>'Hardware Procurement'!G35</f>
        <v>600</v>
      </c>
      <c r="G36" s="88">
        <f>'Hardware Procurement'!J35</f>
        <v>0</v>
      </c>
      <c r="H36" s="31">
        <f t="shared" si="2"/>
        <v>0</v>
      </c>
      <c r="I36" s="6"/>
    </row>
    <row r="37" spans="1:9" ht="12.75">
      <c r="A37" s="4"/>
      <c r="B37" s="5"/>
      <c r="C37" s="5" t="s">
        <v>112</v>
      </c>
      <c r="D37" s="5"/>
      <c r="E37" s="5"/>
      <c r="F37" s="85">
        <f>'Hardware Procurement'!G36</f>
        <v>3900</v>
      </c>
      <c r="G37" s="88">
        <f>'Hardware Procurement'!J36</f>
        <v>50</v>
      </c>
      <c r="H37" s="31">
        <f t="shared" si="2"/>
        <v>195000</v>
      </c>
      <c r="I37" s="6"/>
    </row>
    <row r="38" spans="1:9" ht="12.75">
      <c r="A38" s="4"/>
      <c r="B38" s="5"/>
      <c r="C38" s="5"/>
      <c r="D38" s="5" t="s">
        <v>111</v>
      </c>
      <c r="E38" s="5"/>
      <c r="F38" s="85">
        <f>'Hardware Procurement'!G37</f>
        <v>750</v>
      </c>
      <c r="G38" s="88">
        <f>'Hardware Procurement'!J37</f>
        <v>50</v>
      </c>
      <c r="H38" s="31">
        <f t="shared" si="2"/>
        <v>37500</v>
      </c>
      <c r="I38" s="6"/>
    </row>
    <row r="39" spans="1:9" ht="13.5" thickBot="1">
      <c r="A39" s="52"/>
      <c r="B39" s="22"/>
      <c r="C39" s="22" t="s">
        <v>25</v>
      </c>
      <c r="D39" s="22"/>
      <c r="E39" s="22"/>
      <c r="F39" s="91">
        <f>'Hardware Procurement'!G38</f>
        <v>0</v>
      </c>
      <c r="G39" s="89">
        <f>'Hardware Procurement'!J38</f>
        <v>0</v>
      </c>
      <c r="H39" s="35">
        <f t="shared" si="2"/>
        <v>0</v>
      </c>
      <c r="I39" s="6"/>
    </row>
    <row r="40" spans="1:9" ht="13.5" thickTop="1">
      <c r="A40" s="4"/>
      <c r="B40" s="5" t="s">
        <v>269</v>
      </c>
      <c r="C40" s="5"/>
      <c r="D40" s="5"/>
      <c r="E40" s="5"/>
      <c r="F40" s="31"/>
      <c r="G40" s="5"/>
      <c r="H40" s="31">
        <f>SUM(H32:H39)</f>
        <v>1232500</v>
      </c>
      <c r="I40" s="6"/>
    </row>
    <row r="41" spans="1:9" ht="12.75">
      <c r="A41" s="4"/>
      <c r="B41" s="5"/>
      <c r="C41" s="5"/>
      <c r="D41" s="5"/>
      <c r="E41" s="5"/>
      <c r="F41" s="31"/>
      <c r="G41" s="5"/>
      <c r="H41" s="31"/>
      <c r="I41" s="6"/>
    </row>
    <row r="42" spans="1:9" ht="15.75">
      <c r="A42" s="14"/>
      <c r="B42" s="30" t="s">
        <v>428</v>
      </c>
      <c r="C42" s="5"/>
      <c r="D42" s="5"/>
      <c r="E42" s="5"/>
      <c r="F42" s="31"/>
      <c r="G42" s="5"/>
      <c r="H42" s="31"/>
      <c r="I42" s="6"/>
    </row>
    <row r="43" spans="1:9" ht="12.75">
      <c r="A43" s="4"/>
      <c r="B43" s="5"/>
      <c r="C43" s="5" t="s">
        <v>113</v>
      </c>
      <c r="D43" s="5"/>
      <c r="E43" s="5"/>
      <c r="F43" s="85">
        <f>'Hardware Procurement'!G41</f>
        <v>3000</v>
      </c>
      <c r="G43" s="88">
        <f>'Hardware Procurement'!J41</f>
        <v>0</v>
      </c>
      <c r="H43" s="31">
        <f aca="true" t="shared" si="3" ref="H43:H50">F43*G43</f>
        <v>0</v>
      </c>
      <c r="I43" s="6"/>
    </row>
    <row r="44" spans="1:9" ht="12.75">
      <c r="A44" s="4"/>
      <c r="B44" s="5"/>
      <c r="C44" s="5" t="s">
        <v>114</v>
      </c>
      <c r="D44" s="5"/>
      <c r="E44" s="5"/>
      <c r="F44" s="85">
        <f>'Hardware Procurement'!G42</f>
        <v>1500</v>
      </c>
      <c r="G44" s="88">
        <f>'Hardware Procurement'!J42</f>
        <v>250</v>
      </c>
      <c r="H44" s="31">
        <f t="shared" si="3"/>
        <v>375000</v>
      </c>
      <c r="I44" s="6"/>
    </row>
    <row r="45" spans="1:9" ht="12.75">
      <c r="A45" s="4"/>
      <c r="B45" s="5"/>
      <c r="C45" s="5" t="s">
        <v>115</v>
      </c>
      <c r="D45" s="5"/>
      <c r="E45" s="5"/>
      <c r="F45" s="85">
        <f>'Hardware Procurement'!G43</f>
        <v>5000</v>
      </c>
      <c r="G45" s="88">
        <f>'Hardware Procurement'!J43</f>
        <v>0</v>
      </c>
      <c r="H45" s="31">
        <f t="shared" si="3"/>
        <v>0</v>
      </c>
      <c r="I45" s="6"/>
    </row>
    <row r="46" spans="1:9" ht="12.75">
      <c r="A46" s="4"/>
      <c r="B46" s="5"/>
      <c r="C46" s="5" t="s">
        <v>116</v>
      </c>
      <c r="D46" s="5"/>
      <c r="E46" s="5"/>
      <c r="F46" s="85">
        <f>'Hardware Procurement'!G44</f>
        <v>1500</v>
      </c>
      <c r="G46" s="88">
        <f>'Hardware Procurement'!J44</f>
        <v>0</v>
      </c>
      <c r="H46" s="31">
        <f t="shared" si="3"/>
        <v>0</v>
      </c>
      <c r="I46" s="6"/>
    </row>
    <row r="47" spans="1:9" ht="12.75">
      <c r="A47" s="4"/>
      <c r="B47" s="5"/>
      <c r="C47" s="5" t="s">
        <v>117</v>
      </c>
      <c r="D47" s="5"/>
      <c r="E47" s="5"/>
      <c r="F47" s="85">
        <f>'Hardware Procurement'!G45</f>
        <v>1000</v>
      </c>
      <c r="G47" s="88">
        <f>'Hardware Procurement'!J45</f>
        <v>0</v>
      </c>
      <c r="H47" s="31">
        <f t="shared" si="3"/>
        <v>0</v>
      </c>
      <c r="I47" s="6"/>
    </row>
    <row r="48" spans="1:9" ht="12.75">
      <c r="A48" s="4"/>
      <c r="B48" s="5"/>
      <c r="C48" s="5" t="s">
        <v>118</v>
      </c>
      <c r="D48" s="5"/>
      <c r="E48" s="5"/>
      <c r="F48" s="85">
        <f>'Hardware Procurement'!G46</f>
        <v>500</v>
      </c>
      <c r="G48" s="88">
        <f>'Hardware Procurement'!J46</f>
        <v>0</v>
      </c>
      <c r="H48" s="31">
        <f t="shared" si="3"/>
        <v>0</v>
      </c>
      <c r="I48" s="6"/>
    </row>
    <row r="49" spans="1:9" ht="12.75">
      <c r="A49" s="4"/>
      <c r="B49" s="5"/>
      <c r="C49" s="5" t="s">
        <v>119</v>
      </c>
      <c r="D49" s="5"/>
      <c r="E49" s="5"/>
      <c r="F49" s="85">
        <f>'Hardware Procurement'!G47</f>
        <v>480</v>
      </c>
      <c r="G49" s="88">
        <f>'Hardware Procurement'!J47</f>
        <v>0</v>
      </c>
      <c r="H49" s="31">
        <f t="shared" si="3"/>
        <v>0</v>
      </c>
      <c r="I49" s="6"/>
    </row>
    <row r="50" spans="1:9" ht="13.5" thickBot="1">
      <c r="A50" s="52"/>
      <c r="B50" s="22"/>
      <c r="C50" s="22" t="s">
        <v>120</v>
      </c>
      <c r="D50" s="22"/>
      <c r="E50" s="22"/>
      <c r="F50" s="91">
        <f>'Hardware Procurement'!G48</f>
        <v>0</v>
      </c>
      <c r="G50" s="89">
        <f>'Hardware Procurement'!J48</f>
        <v>0</v>
      </c>
      <c r="H50" s="35">
        <f t="shared" si="3"/>
        <v>0</v>
      </c>
      <c r="I50" s="6"/>
    </row>
    <row r="51" spans="1:9" ht="13.5" thickTop="1">
      <c r="A51" s="4"/>
      <c r="B51" s="5" t="s">
        <v>269</v>
      </c>
      <c r="C51" s="5"/>
      <c r="D51" s="5"/>
      <c r="E51" s="5"/>
      <c r="F51" s="31"/>
      <c r="G51" s="5"/>
      <c r="H51" s="31">
        <f>SUM(H43:H50)</f>
        <v>375000</v>
      </c>
      <c r="I51" s="6"/>
    </row>
    <row r="52" spans="1:9" ht="12.75">
      <c r="A52" s="4"/>
      <c r="B52" s="5"/>
      <c r="C52" s="5"/>
      <c r="D52" s="5"/>
      <c r="E52" s="5"/>
      <c r="F52" s="31"/>
      <c r="G52" s="5"/>
      <c r="H52" s="31"/>
      <c r="I52" s="6"/>
    </row>
    <row r="53" spans="1:9" ht="12.75">
      <c r="A53" s="4"/>
      <c r="B53" s="5"/>
      <c r="C53" s="5"/>
      <c r="D53" s="5"/>
      <c r="E53" s="5"/>
      <c r="F53" s="31"/>
      <c r="G53" s="5"/>
      <c r="H53" s="31"/>
      <c r="I53" s="6"/>
    </row>
    <row r="54" spans="1:9" ht="12.75">
      <c r="A54" s="4"/>
      <c r="B54" s="5"/>
      <c r="C54" s="5"/>
      <c r="D54" s="5"/>
      <c r="E54" s="5"/>
      <c r="F54" s="31"/>
      <c r="G54" s="5"/>
      <c r="H54" s="5"/>
      <c r="I54" s="6"/>
    </row>
    <row r="55" spans="1:9" ht="15.75">
      <c r="A55" s="14"/>
      <c r="B55" s="30" t="s">
        <v>422</v>
      </c>
      <c r="C55" s="5"/>
      <c r="D55" s="5"/>
      <c r="E55" s="5"/>
      <c r="F55" s="31"/>
      <c r="G55" s="5"/>
      <c r="H55" s="5"/>
      <c r="I55" s="6"/>
    </row>
    <row r="56" spans="1:9" ht="12.75">
      <c r="A56" s="4"/>
      <c r="B56" s="5"/>
      <c r="C56" s="5" t="s">
        <v>12</v>
      </c>
      <c r="D56" s="5"/>
      <c r="E56" s="5"/>
      <c r="F56" s="94">
        <f>'Hardware Procurement'!G51</f>
        <v>4000</v>
      </c>
      <c r="G56" s="88">
        <f>'Hardware Procurement'!J51</f>
        <v>0</v>
      </c>
      <c r="H56" s="31">
        <f aca="true" t="shared" si="4" ref="H56:H65">F56*G56</f>
        <v>0</v>
      </c>
      <c r="I56" s="6"/>
    </row>
    <row r="57" spans="1:9" ht="12.75">
      <c r="A57" s="4"/>
      <c r="B57" s="5"/>
      <c r="C57" s="5" t="s">
        <v>102</v>
      </c>
      <c r="D57" s="5"/>
      <c r="E57" s="5"/>
      <c r="F57" s="94">
        <f>'Hardware Procurement'!G52</f>
        <v>1100</v>
      </c>
      <c r="G57" s="88">
        <f>'Hardware Procurement'!J52</f>
        <v>0</v>
      </c>
      <c r="H57" s="31">
        <f t="shared" si="4"/>
        <v>0</v>
      </c>
      <c r="I57" s="6"/>
    </row>
    <row r="58" spans="1:9" ht="12.75">
      <c r="A58" s="4"/>
      <c r="B58" s="5"/>
      <c r="C58" s="5" t="s">
        <v>103</v>
      </c>
      <c r="D58" s="5"/>
      <c r="E58" s="5"/>
      <c r="F58" s="94">
        <f>'Hardware Procurement'!G53</f>
        <v>260</v>
      </c>
      <c r="G58" s="88">
        <f>'Hardware Procurement'!J53</f>
        <v>0</v>
      </c>
      <c r="H58" s="31">
        <f t="shared" si="4"/>
        <v>0</v>
      </c>
      <c r="I58" s="6"/>
    </row>
    <row r="59" spans="1:9" ht="12.75">
      <c r="A59" s="4"/>
      <c r="B59" s="5"/>
      <c r="C59" s="5" t="s">
        <v>104</v>
      </c>
      <c r="D59" s="5"/>
      <c r="E59" s="5"/>
      <c r="F59" s="94">
        <f>'Hardware Procurement'!G54</f>
        <v>800</v>
      </c>
      <c r="G59" s="88">
        <f>'Hardware Procurement'!J54</f>
        <v>0</v>
      </c>
      <c r="H59" s="31">
        <f t="shared" si="4"/>
        <v>0</v>
      </c>
      <c r="I59" s="6"/>
    </row>
    <row r="60" spans="1:9" ht="12.75">
      <c r="A60" s="4"/>
      <c r="B60" s="5"/>
      <c r="C60" s="5" t="s">
        <v>250</v>
      </c>
      <c r="D60" s="5"/>
      <c r="E60" s="5"/>
      <c r="F60" s="94">
        <f>'Hardware Procurement'!G55</f>
        <v>150</v>
      </c>
      <c r="G60" s="88">
        <f>'Hardware Procurement'!J55</f>
        <v>0</v>
      </c>
      <c r="H60" s="31">
        <f t="shared" si="4"/>
        <v>0</v>
      </c>
      <c r="I60" s="6"/>
    </row>
    <row r="61" spans="1:9" ht="12.75">
      <c r="A61" s="4"/>
      <c r="B61" s="5"/>
      <c r="C61" s="5" t="s">
        <v>105</v>
      </c>
      <c r="D61" s="5"/>
      <c r="E61" s="5"/>
      <c r="F61" s="94">
        <f>'Hardware Procurement'!G56</f>
        <v>1200</v>
      </c>
      <c r="G61" s="88">
        <f>'Hardware Procurement'!J56</f>
        <v>0</v>
      </c>
      <c r="H61" s="31">
        <f t="shared" si="4"/>
        <v>0</v>
      </c>
      <c r="I61" s="6"/>
    </row>
    <row r="62" spans="1:9" ht="12.75">
      <c r="A62" s="4"/>
      <c r="B62" s="5"/>
      <c r="C62" s="5" t="s">
        <v>251</v>
      </c>
      <c r="D62" s="5"/>
      <c r="E62" s="5"/>
      <c r="F62" s="94">
        <f>'Hardware Procurement'!G57</f>
        <v>5000</v>
      </c>
      <c r="G62" s="88">
        <f>'Hardware Procurement'!J57</f>
        <v>0</v>
      </c>
      <c r="H62" s="31">
        <f t="shared" si="4"/>
        <v>0</v>
      </c>
      <c r="I62" s="6"/>
    </row>
    <row r="63" spans="1:9" ht="12.75">
      <c r="A63" s="4"/>
      <c r="B63" s="5"/>
      <c r="C63" s="5" t="s">
        <v>252</v>
      </c>
      <c r="D63" s="5"/>
      <c r="E63" s="5"/>
      <c r="F63" s="94">
        <f>'Hardware Procurement'!G58</f>
        <v>900</v>
      </c>
      <c r="G63" s="88">
        <f>'Hardware Procurement'!J58</f>
        <v>0</v>
      </c>
      <c r="H63" s="31">
        <f t="shared" si="4"/>
        <v>0</v>
      </c>
      <c r="I63" s="6"/>
    </row>
    <row r="64" spans="1:9" ht="12.75">
      <c r="A64" s="4"/>
      <c r="B64" s="5"/>
      <c r="C64" s="5" t="s">
        <v>253</v>
      </c>
      <c r="D64" s="5"/>
      <c r="E64" s="5"/>
      <c r="F64" s="94">
        <f>'Hardware Procurement'!G59</f>
        <v>550</v>
      </c>
      <c r="G64" s="88">
        <f>'Hardware Procurement'!J59</f>
        <v>0</v>
      </c>
      <c r="H64" s="31">
        <f t="shared" si="4"/>
        <v>0</v>
      </c>
      <c r="I64" s="6"/>
    </row>
    <row r="65" spans="1:9" ht="13.5" thickBot="1">
      <c r="A65" s="52"/>
      <c r="B65" s="22"/>
      <c r="C65" s="22" t="s">
        <v>25</v>
      </c>
      <c r="D65" s="22"/>
      <c r="E65" s="22"/>
      <c r="F65" s="288">
        <f>'Hardware Procurement'!G60</f>
        <v>0</v>
      </c>
      <c r="G65" s="89">
        <f>'Hardware Procurement'!J60</f>
        <v>0</v>
      </c>
      <c r="H65" s="35">
        <f t="shared" si="4"/>
        <v>0</v>
      </c>
      <c r="I65" s="6"/>
    </row>
    <row r="66" spans="1:9" ht="13.5" thickTop="1">
      <c r="A66" s="4"/>
      <c r="B66" s="5" t="s">
        <v>269</v>
      </c>
      <c r="C66" s="5"/>
      <c r="D66" s="5"/>
      <c r="E66" s="5"/>
      <c r="F66" s="31"/>
      <c r="G66" s="162">
        <f>SUM(H56:H65)</f>
        <v>0</v>
      </c>
      <c r="H66" s="31">
        <f>G66+'Calculation Sheet'!B5</f>
        <v>4000</v>
      </c>
      <c r="I66" s="6"/>
    </row>
    <row r="67" spans="1:9" ht="12.75">
      <c r="A67" s="4"/>
      <c r="B67" s="5"/>
      <c r="C67" s="5"/>
      <c r="D67" s="5"/>
      <c r="E67" s="5"/>
      <c r="F67" s="31"/>
      <c r="G67" s="5"/>
      <c r="H67" s="31"/>
      <c r="I67" s="6"/>
    </row>
    <row r="68" spans="1:9" ht="15.75">
      <c r="A68" s="14"/>
      <c r="B68" s="30" t="s">
        <v>423</v>
      </c>
      <c r="C68" s="5"/>
      <c r="D68" s="5"/>
      <c r="E68" s="5"/>
      <c r="F68" s="31"/>
      <c r="G68" s="5"/>
      <c r="H68" s="5"/>
      <c r="I68" s="6"/>
    </row>
    <row r="69" spans="1:9" ht="12.75">
      <c r="A69" s="4"/>
      <c r="B69" s="5"/>
      <c r="C69" s="5" t="s">
        <v>256</v>
      </c>
      <c r="D69" s="5"/>
      <c r="E69" s="5"/>
      <c r="F69" s="85">
        <f>'Hardware Procurement'!G63</f>
        <v>0</v>
      </c>
      <c r="G69" s="88">
        <f>'Hardware Procurement'!J63</f>
        <v>0</v>
      </c>
      <c r="H69" s="31">
        <f aca="true" t="shared" si="5" ref="H69:H78">F69*G69</f>
        <v>0</v>
      </c>
      <c r="I69" s="6"/>
    </row>
    <row r="70" spans="1:9" ht="12.75">
      <c r="A70" s="4"/>
      <c r="B70" s="5"/>
      <c r="C70" s="5" t="s">
        <v>102</v>
      </c>
      <c r="D70" s="5"/>
      <c r="E70" s="5"/>
      <c r="F70" s="85">
        <f>'Hardware Procurement'!G64</f>
        <v>0</v>
      </c>
      <c r="G70" s="88">
        <f>'Hardware Procurement'!J64</f>
        <v>0</v>
      </c>
      <c r="H70" s="31">
        <f t="shared" si="5"/>
        <v>0</v>
      </c>
      <c r="I70" s="6"/>
    </row>
    <row r="71" spans="1:9" ht="12.75">
      <c r="A71" s="4"/>
      <c r="B71" s="5"/>
      <c r="C71" s="5" t="s">
        <v>103</v>
      </c>
      <c r="D71" s="5"/>
      <c r="E71" s="5"/>
      <c r="F71" s="85">
        <f>'Hardware Procurement'!G65</f>
        <v>0</v>
      </c>
      <c r="G71" s="88">
        <f>'Hardware Procurement'!J65</f>
        <v>0</v>
      </c>
      <c r="H71" s="31">
        <f t="shared" si="5"/>
        <v>0</v>
      </c>
      <c r="I71" s="6"/>
    </row>
    <row r="72" spans="1:9" ht="12.75">
      <c r="A72" s="4"/>
      <c r="B72" s="5"/>
      <c r="C72" s="5" t="s">
        <v>104</v>
      </c>
      <c r="D72" s="5"/>
      <c r="E72" s="5"/>
      <c r="F72" s="85">
        <f>'Hardware Procurement'!G66</f>
        <v>0</v>
      </c>
      <c r="G72" s="88">
        <f>'Hardware Procurement'!J66</f>
        <v>0</v>
      </c>
      <c r="H72" s="31">
        <f t="shared" si="5"/>
        <v>0</v>
      </c>
      <c r="I72" s="6"/>
    </row>
    <row r="73" spans="1:9" ht="12.75">
      <c r="A73" s="4"/>
      <c r="B73" s="5"/>
      <c r="C73" s="5" t="s">
        <v>250</v>
      </c>
      <c r="D73" s="5"/>
      <c r="E73" s="5"/>
      <c r="F73" s="85">
        <f>'Hardware Procurement'!G67</f>
        <v>0</v>
      </c>
      <c r="G73" s="88">
        <f>'Hardware Procurement'!J67</f>
        <v>0</v>
      </c>
      <c r="H73" s="31">
        <f t="shared" si="5"/>
        <v>0</v>
      </c>
      <c r="I73" s="6"/>
    </row>
    <row r="74" spans="1:9" ht="12.75">
      <c r="A74" s="4"/>
      <c r="B74" s="5"/>
      <c r="C74" s="5" t="s">
        <v>254</v>
      </c>
      <c r="D74" s="5"/>
      <c r="E74" s="5"/>
      <c r="F74" s="85">
        <f>'Hardware Procurement'!G68</f>
        <v>0</v>
      </c>
      <c r="G74" s="88">
        <f>'Hardware Procurement'!J68</f>
        <v>0</v>
      </c>
      <c r="H74" s="31">
        <f t="shared" si="5"/>
        <v>0</v>
      </c>
      <c r="I74" s="6"/>
    </row>
    <row r="75" spans="1:9" ht="12.75">
      <c r="A75" s="4"/>
      <c r="B75" s="5"/>
      <c r="C75" s="5" t="s">
        <v>251</v>
      </c>
      <c r="D75" s="5"/>
      <c r="E75" s="5"/>
      <c r="F75" s="85">
        <f>'Hardware Procurement'!G69</f>
        <v>0</v>
      </c>
      <c r="G75" s="88">
        <f>'Hardware Procurement'!J69</f>
        <v>0</v>
      </c>
      <c r="H75" s="31">
        <f t="shared" si="5"/>
        <v>0</v>
      </c>
      <c r="I75" s="6"/>
    </row>
    <row r="76" spans="1:9" ht="12.75">
      <c r="A76" s="4"/>
      <c r="B76" s="5"/>
      <c r="C76" s="5" t="s">
        <v>255</v>
      </c>
      <c r="D76" s="5"/>
      <c r="E76" s="5"/>
      <c r="F76" s="85">
        <f>'Hardware Procurement'!G70</f>
        <v>0</v>
      </c>
      <c r="G76" s="88">
        <f>'Hardware Procurement'!J70</f>
        <v>0</v>
      </c>
      <c r="H76" s="31">
        <f t="shared" si="5"/>
        <v>0</v>
      </c>
      <c r="I76" s="6"/>
    </row>
    <row r="77" spans="1:9" ht="12.75">
      <c r="A77" s="4"/>
      <c r="B77" s="5"/>
      <c r="C77" s="5" t="s">
        <v>106</v>
      </c>
      <c r="D77" s="5"/>
      <c r="E77" s="5"/>
      <c r="F77" s="85">
        <f>'Hardware Procurement'!G71</f>
        <v>0</v>
      </c>
      <c r="G77" s="88">
        <f>'Hardware Procurement'!J71</f>
        <v>0</v>
      </c>
      <c r="H77" s="31">
        <f t="shared" si="5"/>
        <v>0</v>
      </c>
      <c r="I77" s="6"/>
    </row>
    <row r="78" spans="1:9" ht="13.5" thickBot="1">
      <c r="A78" s="52"/>
      <c r="B78" s="22"/>
      <c r="C78" s="22" t="s">
        <v>25</v>
      </c>
      <c r="D78" s="22"/>
      <c r="E78" s="22"/>
      <c r="F78" s="91">
        <f>'Hardware Procurement'!G72</f>
        <v>0</v>
      </c>
      <c r="G78" s="89">
        <f>'Hardware Procurement'!J72</f>
        <v>0</v>
      </c>
      <c r="H78" s="35">
        <f t="shared" si="5"/>
        <v>0</v>
      </c>
      <c r="I78" s="6"/>
    </row>
    <row r="79" spans="1:9" ht="13.5" thickTop="1">
      <c r="A79" s="4"/>
      <c r="B79" s="5" t="s">
        <v>269</v>
      </c>
      <c r="C79" s="5"/>
      <c r="D79" s="5"/>
      <c r="E79" s="5"/>
      <c r="F79" s="31"/>
      <c r="G79" s="162">
        <f>SUM(H69:H78)</f>
        <v>0</v>
      </c>
      <c r="H79" s="31">
        <f>G79+'Calculation Sheet'!B3</f>
        <v>62500</v>
      </c>
      <c r="I79" s="6"/>
    </row>
    <row r="80" spans="1:9" ht="13.5" thickBot="1">
      <c r="A80" s="4"/>
      <c r="B80" s="5"/>
      <c r="C80" s="5"/>
      <c r="D80" s="5"/>
      <c r="E80" s="5"/>
      <c r="F80" s="31"/>
      <c r="G80" s="5"/>
      <c r="H80" s="5"/>
      <c r="I80" s="6"/>
    </row>
    <row r="81" spans="1:9" ht="13.5" thickBot="1">
      <c r="A81" s="4"/>
      <c r="B81" s="61" t="s">
        <v>121</v>
      </c>
      <c r="C81" s="62"/>
      <c r="D81" s="62"/>
      <c r="E81" s="62"/>
      <c r="F81" s="63"/>
      <c r="G81" s="62"/>
      <c r="H81" s="64">
        <f>SUM(H79,H66,H51,H40,H29,H16)</f>
        <v>1766300</v>
      </c>
      <c r="I81" s="6"/>
    </row>
    <row r="82" spans="1:9" ht="12.75">
      <c r="A82" s="4"/>
      <c r="B82" s="5"/>
      <c r="C82" s="5"/>
      <c r="D82" s="5"/>
      <c r="E82" s="5"/>
      <c r="F82" s="5"/>
      <c r="G82" s="5"/>
      <c r="H82" s="5"/>
      <c r="I82" s="6"/>
    </row>
    <row r="83" spans="1:9" ht="13.5" thickBot="1">
      <c r="A83" s="7"/>
      <c r="B83" s="8"/>
      <c r="C83" s="8"/>
      <c r="D83" s="8"/>
      <c r="E83" s="8"/>
      <c r="F83" s="8"/>
      <c r="G83" s="8"/>
      <c r="H83" s="8"/>
      <c r="I83" s="9"/>
    </row>
    <row r="84" ht="13.5" thickTop="1"/>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60">
      <c r="A93" s="134" t="s">
        <v>249</v>
      </c>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60">
      <c r="A101" s="134"/>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12.75">
      <c r="A103" s="133"/>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row r="105" spans="1:15" ht="12.75">
      <c r="A105" s="133"/>
      <c r="B105" s="133"/>
      <c r="C105" s="133"/>
      <c r="D105" s="133"/>
      <c r="E105" s="133"/>
      <c r="F105" s="133"/>
      <c r="G105" s="133"/>
      <c r="H105" s="133"/>
      <c r="I105" s="133"/>
      <c r="J105" s="133"/>
      <c r="K105" s="133"/>
      <c r="L105" s="133"/>
      <c r="M105" s="133"/>
      <c r="N105" s="133"/>
      <c r="O105" s="133"/>
    </row>
    <row r="106" spans="1:15" ht="12.75">
      <c r="A106" s="133"/>
      <c r="B106" s="133"/>
      <c r="C106" s="133"/>
      <c r="D106" s="133"/>
      <c r="E106" s="133"/>
      <c r="F106" s="133"/>
      <c r="G106" s="133"/>
      <c r="H106" s="133"/>
      <c r="I106" s="133"/>
      <c r="J106" s="133"/>
      <c r="K106" s="133"/>
      <c r="L106" s="133"/>
      <c r="M106" s="133"/>
      <c r="N106" s="133"/>
      <c r="O106" s="133"/>
    </row>
    <row r="107" spans="1:15" ht="12.75">
      <c r="A107" s="133"/>
      <c r="B107" s="133"/>
      <c r="C107" s="133"/>
      <c r="D107" s="133"/>
      <c r="E107" s="133"/>
      <c r="F107" s="133"/>
      <c r="G107" s="133"/>
      <c r="H107" s="133"/>
      <c r="I107" s="133"/>
      <c r="J107" s="133"/>
      <c r="K107" s="133"/>
      <c r="L107" s="133"/>
      <c r="M107" s="133"/>
      <c r="N107" s="133"/>
      <c r="O107" s="133"/>
    </row>
    <row r="108" spans="1:15" ht="12.75">
      <c r="A108" s="133"/>
      <c r="B108" s="133"/>
      <c r="C108" s="133"/>
      <c r="D108" s="133"/>
      <c r="E108" s="133"/>
      <c r="F108" s="133"/>
      <c r="G108" s="133"/>
      <c r="H108" s="133"/>
      <c r="I108" s="133"/>
      <c r="J108" s="133"/>
      <c r="K108" s="133"/>
      <c r="L108" s="133"/>
      <c r="M108" s="133"/>
      <c r="N108" s="133"/>
      <c r="O108" s="133"/>
    </row>
    <row r="109" spans="1:15" ht="12.75">
      <c r="A109" s="133"/>
      <c r="B109" s="133"/>
      <c r="C109" s="133"/>
      <c r="D109" s="133"/>
      <c r="E109" s="133"/>
      <c r="F109" s="133"/>
      <c r="G109" s="133"/>
      <c r="H109" s="133"/>
      <c r="I109" s="133"/>
      <c r="J109" s="133"/>
      <c r="K109" s="133"/>
      <c r="L109" s="133"/>
      <c r="M109" s="133"/>
      <c r="N109" s="133"/>
      <c r="O109" s="133"/>
    </row>
    <row r="110" spans="1:15" ht="12.75">
      <c r="A110" s="133"/>
      <c r="B110" s="133"/>
      <c r="C110" s="133"/>
      <c r="D110" s="133"/>
      <c r="E110" s="133"/>
      <c r="F110" s="133"/>
      <c r="G110" s="133"/>
      <c r="H110" s="133"/>
      <c r="I110" s="133"/>
      <c r="J110" s="133"/>
      <c r="K110" s="133"/>
      <c r="L110" s="133"/>
      <c r="M110" s="133"/>
      <c r="N110" s="133"/>
      <c r="O110" s="133"/>
    </row>
    <row r="111" spans="1:15" ht="12.75">
      <c r="A111" s="133"/>
      <c r="B111" s="133"/>
      <c r="C111" s="133"/>
      <c r="D111" s="133"/>
      <c r="E111" s="133"/>
      <c r="F111" s="133"/>
      <c r="G111" s="133"/>
      <c r="H111" s="133"/>
      <c r="I111" s="133"/>
      <c r="J111" s="133"/>
      <c r="K111" s="133"/>
      <c r="L111" s="133"/>
      <c r="M111" s="133"/>
      <c r="N111" s="133"/>
      <c r="O111" s="133"/>
    </row>
    <row r="112" spans="1:15" ht="60">
      <c r="A112" s="133"/>
      <c r="B112" s="133"/>
      <c r="C112" s="133"/>
      <c r="D112" s="134"/>
      <c r="E112" s="133"/>
      <c r="F112" s="133"/>
      <c r="G112" s="133"/>
      <c r="H112" s="133"/>
      <c r="I112" s="133"/>
      <c r="J112" s="133"/>
      <c r="K112" s="133"/>
      <c r="L112" s="133"/>
      <c r="M112" s="133"/>
      <c r="N112" s="133"/>
      <c r="O112" s="133"/>
    </row>
    <row r="113" spans="1:15" ht="12.75">
      <c r="A113" s="133"/>
      <c r="B113" s="133"/>
      <c r="C113" s="133"/>
      <c r="D113" s="133"/>
      <c r="E113" s="133"/>
      <c r="F113" s="133"/>
      <c r="G113" s="133"/>
      <c r="H113" s="133"/>
      <c r="I113" s="133"/>
      <c r="J113" s="133"/>
      <c r="K113" s="133"/>
      <c r="L113" s="133"/>
      <c r="M113" s="133"/>
      <c r="N113" s="133"/>
      <c r="O113" s="133"/>
    </row>
    <row r="114" spans="1:15" ht="12.75">
      <c r="A114" s="133"/>
      <c r="B114" s="133"/>
      <c r="C114" s="133"/>
      <c r="D114" s="133"/>
      <c r="E114" s="133"/>
      <c r="F114" s="133"/>
      <c r="G114" s="133"/>
      <c r="H114" s="133"/>
      <c r="I114" s="133"/>
      <c r="J114" s="133"/>
      <c r="K114" s="133"/>
      <c r="L114" s="133"/>
      <c r="M114" s="133"/>
      <c r="N114" s="133"/>
      <c r="O114" s="133"/>
    </row>
    <row r="115" spans="1:15" ht="12.75">
      <c r="A115" s="133"/>
      <c r="B115" s="133"/>
      <c r="C115" s="133"/>
      <c r="D115" s="133"/>
      <c r="E115" s="133"/>
      <c r="F115" s="133"/>
      <c r="G115" s="133"/>
      <c r="H115" s="133"/>
      <c r="I115" s="133"/>
      <c r="J115" s="133"/>
      <c r="K115" s="133"/>
      <c r="L115" s="133"/>
      <c r="M115" s="133"/>
      <c r="N115" s="133"/>
      <c r="O115" s="133"/>
    </row>
    <row r="116" spans="1:15" ht="12.75">
      <c r="A116" s="133"/>
      <c r="B116" s="133"/>
      <c r="C116" s="133"/>
      <c r="D116" s="133"/>
      <c r="E116" s="133"/>
      <c r="F116" s="133"/>
      <c r="G116" s="133"/>
      <c r="H116" s="133"/>
      <c r="I116" s="133"/>
      <c r="J116" s="133"/>
      <c r="K116" s="133"/>
      <c r="L116" s="133"/>
      <c r="M116" s="133"/>
      <c r="N116" s="133"/>
      <c r="O116" s="133"/>
    </row>
    <row r="117" spans="1:15" ht="12.75">
      <c r="A117" s="133"/>
      <c r="B117" s="133"/>
      <c r="C117" s="133"/>
      <c r="D117" s="133"/>
      <c r="E117" s="133"/>
      <c r="F117" s="133"/>
      <c r="G117" s="133"/>
      <c r="H117" s="133"/>
      <c r="I117" s="133"/>
      <c r="J117" s="133"/>
      <c r="K117" s="133"/>
      <c r="L117" s="133"/>
      <c r="M117" s="133"/>
      <c r="N117" s="133"/>
      <c r="O117" s="133"/>
    </row>
    <row r="118" spans="1:15" ht="12.75">
      <c r="A118" s="133"/>
      <c r="B118" s="133"/>
      <c r="C118" s="133"/>
      <c r="D118" s="133"/>
      <c r="E118" s="133"/>
      <c r="F118" s="133"/>
      <c r="G118" s="133"/>
      <c r="H118" s="133"/>
      <c r="I118" s="133"/>
      <c r="J118" s="133"/>
      <c r="K118" s="133"/>
      <c r="L118" s="133"/>
      <c r="M118" s="133"/>
      <c r="N118" s="133"/>
      <c r="O118" s="133"/>
    </row>
    <row r="119" spans="1:15" ht="12.75">
      <c r="A119" s="133"/>
      <c r="B119" s="133"/>
      <c r="C119" s="133"/>
      <c r="D119" s="133"/>
      <c r="E119" s="133"/>
      <c r="F119" s="133"/>
      <c r="G119" s="133"/>
      <c r="H119" s="133"/>
      <c r="I119" s="133"/>
      <c r="J119" s="133"/>
      <c r="K119" s="133"/>
      <c r="L119" s="133"/>
      <c r="M119" s="133"/>
      <c r="N119" s="133"/>
      <c r="O119" s="133"/>
    </row>
    <row r="120" spans="1:15" ht="12.75">
      <c r="A120" s="133"/>
      <c r="B120" s="133"/>
      <c r="C120" s="133"/>
      <c r="D120" s="133"/>
      <c r="E120" s="133"/>
      <c r="F120" s="133"/>
      <c r="G120" s="133"/>
      <c r="H120" s="133"/>
      <c r="I120" s="133"/>
      <c r="J120" s="133"/>
      <c r="K120" s="133"/>
      <c r="L120" s="133"/>
      <c r="M120" s="133"/>
      <c r="N120" s="133"/>
      <c r="O120" s="133"/>
    </row>
    <row r="121" spans="1:15" ht="12.75">
      <c r="A121" s="133"/>
      <c r="B121" s="133"/>
      <c r="C121" s="133"/>
      <c r="D121" s="133"/>
      <c r="E121" s="133"/>
      <c r="F121" s="133"/>
      <c r="G121" s="133"/>
      <c r="H121" s="133"/>
      <c r="I121" s="133"/>
      <c r="J121" s="133"/>
      <c r="K121" s="133"/>
      <c r="L121" s="133"/>
      <c r="M121" s="133"/>
      <c r="N121" s="133"/>
      <c r="O121" s="133"/>
    </row>
    <row r="122" spans="1:15" ht="12.75">
      <c r="A122" s="133"/>
      <c r="B122" s="133"/>
      <c r="C122" s="133"/>
      <c r="D122" s="133"/>
      <c r="E122" s="133"/>
      <c r="F122" s="133"/>
      <c r="G122" s="133"/>
      <c r="H122" s="133"/>
      <c r="I122" s="133"/>
      <c r="J122" s="133"/>
      <c r="K122" s="133"/>
      <c r="L122" s="133"/>
      <c r="M122" s="133"/>
      <c r="N122" s="133"/>
      <c r="O122" s="133"/>
    </row>
    <row r="123" spans="1:15" ht="12.75">
      <c r="A123" s="133"/>
      <c r="B123" s="133"/>
      <c r="C123" s="133"/>
      <c r="D123" s="133"/>
      <c r="E123" s="133"/>
      <c r="F123" s="133"/>
      <c r="G123" s="133"/>
      <c r="H123" s="133"/>
      <c r="I123" s="133"/>
      <c r="J123" s="133"/>
      <c r="K123" s="133"/>
      <c r="L123" s="133"/>
      <c r="M123" s="133"/>
      <c r="N123" s="133"/>
      <c r="O123" s="133"/>
    </row>
    <row r="124" spans="1:15" ht="12.75">
      <c r="A124" s="133"/>
      <c r="B124" s="133"/>
      <c r="C124" s="133"/>
      <c r="D124" s="133"/>
      <c r="E124" s="133"/>
      <c r="F124" s="133"/>
      <c r="G124" s="133"/>
      <c r="H124" s="133"/>
      <c r="I124" s="133"/>
      <c r="J124" s="133"/>
      <c r="K124" s="133"/>
      <c r="L124" s="133"/>
      <c r="M124" s="133"/>
      <c r="N124" s="133"/>
      <c r="O124" s="133"/>
    </row>
    <row r="125" spans="1:15" ht="12.75">
      <c r="A125" s="133"/>
      <c r="B125" s="133"/>
      <c r="C125" s="133"/>
      <c r="D125" s="133"/>
      <c r="E125" s="133"/>
      <c r="F125" s="133"/>
      <c r="G125" s="133"/>
      <c r="H125" s="133"/>
      <c r="I125" s="133"/>
      <c r="J125" s="133"/>
      <c r="K125" s="133"/>
      <c r="L125" s="133"/>
      <c r="M125" s="133"/>
      <c r="N125" s="133"/>
      <c r="O125" s="133"/>
    </row>
    <row r="126" spans="1:15" ht="12.75">
      <c r="A126" s="133"/>
      <c r="B126" s="133"/>
      <c r="C126" s="133"/>
      <c r="D126" s="133"/>
      <c r="E126" s="133"/>
      <c r="F126" s="133"/>
      <c r="G126" s="133"/>
      <c r="H126" s="133"/>
      <c r="I126" s="133"/>
      <c r="J126" s="133"/>
      <c r="K126" s="133"/>
      <c r="L126" s="133"/>
      <c r="M126" s="133"/>
      <c r="N126" s="133"/>
      <c r="O126" s="133"/>
    </row>
    <row r="127" spans="1:15" ht="12.75">
      <c r="A127" s="133"/>
      <c r="B127" s="133"/>
      <c r="C127" s="133"/>
      <c r="D127" s="133"/>
      <c r="E127" s="133"/>
      <c r="F127" s="133"/>
      <c r="G127" s="133"/>
      <c r="H127" s="133"/>
      <c r="I127" s="133"/>
      <c r="J127" s="133"/>
      <c r="K127" s="133"/>
      <c r="L127" s="133"/>
      <c r="M127" s="133"/>
      <c r="N127" s="133"/>
      <c r="O127" s="133"/>
    </row>
    <row r="128" spans="1:15" ht="12.75">
      <c r="A128" s="133"/>
      <c r="B128" s="133"/>
      <c r="C128" s="133"/>
      <c r="D128" s="133"/>
      <c r="E128" s="133"/>
      <c r="F128" s="133"/>
      <c r="G128" s="133"/>
      <c r="H128" s="133"/>
      <c r="I128" s="133"/>
      <c r="J128" s="133"/>
      <c r="K128" s="133"/>
      <c r="L128" s="133"/>
      <c r="M128" s="133"/>
      <c r="N128" s="133"/>
      <c r="O128" s="133"/>
    </row>
    <row r="129" spans="1:15" ht="12.75">
      <c r="A129" s="133"/>
      <c r="B129" s="133"/>
      <c r="C129" s="133"/>
      <c r="D129" s="133"/>
      <c r="E129" s="133"/>
      <c r="F129" s="133"/>
      <c r="G129" s="133"/>
      <c r="H129" s="133"/>
      <c r="I129" s="133"/>
      <c r="J129" s="133"/>
      <c r="K129" s="133"/>
      <c r="L129" s="133"/>
      <c r="M129" s="133"/>
      <c r="N129" s="133"/>
      <c r="O129" s="133"/>
    </row>
  </sheetData>
  <sheetProtection password="D023" sheet="1" objects="1" scenarios="1"/>
  <printOptions/>
  <pageMargins left="0.75" right="0.75" top="1" bottom="1" header="0.5" footer="0.5"/>
  <pageSetup fitToHeight="1" fitToWidth="1" horizontalDpi="600" verticalDpi="600" orientation="portrait" scale="57" r:id="rId1"/>
  <headerFooter alignWithMargins="0">
    <oddHeader>&amp;CTotal Cost of Application Ownership (TCA) Calculator</oddHeader>
    <oddFooter>&amp;LThe Tolly Group TCA Calculator&amp;R© The Tolly Group, 1999</oddFooter>
  </headerFooter>
  <rowBreaks count="1" manualBreakCount="1">
    <brk id="53" max="8" man="1"/>
  </rowBreaks>
</worksheet>
</file>

<file path=xl/worksheets/sheet38.xml><?xml version="1.0" encoding="utf-8"?>
<worksheet xmlns="http://schemas.openxmlformats.org/spreadsheetml/2006/main" xmlns:r="http://schemas.openxmlformats.org/officeDocument/2006/relationships">
  <sheetPr codeName="Sheet131">
    <pageSetUpPr fitToPage="1"/>
  </sheetPr>
  <dimension ref="A1:O92"/>
  <sheetViews>
    <sheetView workbookViewId="0" topLeftCell="A53">
      <selection activeCell="A49" sqref="A49"/>
    </sheetView>
  </sheetViews>
  <sheetFormatPr defaultColWidth="9.140625" defaultRowHeight="12.75"/>
  <cols>
    <col min="2" max="2" width="11.421875" style="0" customWidth="1"/>
    <col min="3" max="3" width="18.140625" style="0" customWidth="1"/>
    <col min="4" max="4" width="9.421875" style="0" customWidth="1"/>
    <col min="5" max="5" width="15.7109375" style="0" customWidth="1"/>
    <col min="6" max="6" width="13.8515625" style="0" customWidth="1"/>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429</v>
      </c>
      <c r="C3" s="5"/>
      <c r="D3" s="5"/>
      <c r="E3" s="5"/>
      <c r="F3" s="5"/>
      <c r="G3" s="5"/>
      <c r="H3" s="6"/>
    </row>
    <row r="4" spans="1:8" ht="12.75">
      <c r="A4" s="4"/>
      <c r="B4" s="5"/>
      <c r="C4" s="5"/>
      <c r="D4" s="5"/>
      <c r="E4" s="5"/>
      <c r="F4" s="5"/>
      <c r="G4" s="5"/>
      <c r="H4" s="6"/>
    </row>
    <row r="5" spans="1:8" ht="12.75">
      <c r="A5" s="4"/>
      <c r="B5" s="15" t="s">
        <v>430</v>
      </c>
      <c r="C5" s="5"/>
      <c r="D5" s="5"/>
      <c r="E5" s="5" t="s">
        <v>268</v>
      </c>
      <c r="F5" s="5" t="s">
        <v>101</v>
      </c>
      <c r="G5" s="101" t="s">
        <v>514</v>
      </c>
      <c r="H5" s="6"/>
    </row>
    <row r="6" spans="1:8" ht="12.75">
      <c r="A6" s="4"/>
      <c r="B6" s="5"/>
      <c r="C6" s="5" t="s">
        <v>225</v>
      </c>
      <c r="D6" s="5"/>
      <c r="E6" s="189">
        <f>'Detailed Data'!H26</f>
        <v>60000</v>
      </c>
      <c r="F6" s="111">
        <f>'Front End'!G43</f>
        <v>3</v>
      </c>
      <c r="G6" s="95">
        <v>1314000</v>
      </c>
      <c r="H6" s="6"/>
    </row>
    <row r="7" spans="1:8" ht="13.5" thickBot="1">
      <c r="A7" s="4"/>
      <c r="B7" s="22"/>
      <c r="C7" s="22" t="s">
        <v>226</v>
      </c>
      <c r="D7" s="22"/>
      <c r="E7" s="188">
        <f>'Detailed Data'!H27</f>
        <v>30000</v>
      </c>
      <c r="F7" s="98">
        <f>'Front End'!G45</f>
        <v>6</v>
      </c>
      <c r="G7" s="151">
        <v>1692000</v>
      </c>
      <c r="H7" s="6"/>
    </row>
    <row r="8" spans="1:8" ht="13.5" thickTop="1">
      <c r="A8" s="4"/>
      <c r="B8" s="5" t="s">
        <v>269</v>
      </c>
      <c r="C8" s="5"/>
      <c r="D8" s="5"/>
      <c r="E8" s="5"/>
      <c r="F8" s="5"/>
      <c r="G8" s="31">
        <f>SUM(G6:G7)</f>
        <v>3006000</v>
      </c>
      <c r="H8" s="6"/>
    </row>
    <row r="9" spans="1:8" ht="12.75">
      <c r="A9" s="4"/>
      <c r="B9" s="5"/>
      <c r="C9" s="5"/>
      <c r="D9" s="5"/>
      <c r="E9" s="5"/>
      <c r="F9" s="5"/>
      <c r="G9" s="31"/>
      <c r="H9" s="6"/>
    </row>
    <row r="10" spans="1:8" ht="12.75">
      <c r="A10" s="4"/>
      <c r="B10" s="15" t="s">
        <v>431</v>
      </c>
      <c r="C10" s="5"/>
      <c r="D10" s="5"/>
      <c r="E10" s="5" t="s">
        <v>160</v>
      </c>
      <c r="F10" s="5" t="s">
        <v>161</v>
      </c>
      <c r="G10" s="31"/>
      <c r="H10" s="6"/>
    </row>
    <row r="11" spans="1:8" ht="12.75">
      <c r="A11" s="4"/>
      <c r="B11" s="5"/>
      <c r="C11" s="5" t="s">
        <v>122</v>
      </c>
      <c r="D11" s="5"/>
      <c r="E11" s="189">
        <f>'Detailed Data'!G29</f>
        <v>2000</v>
      </c>
      <c r="F11" s="189">
        <f>'Detailed Data'!H29</f>
        <v>250</v>
      </c>
      <c r="G11" s="31">
        <f>SUM(F11*12+E11)</f>
        <v>5000</v>
      </c>
      <c r="H11" s="6"/>
    </row>
    <row r="12" spans="1:8" ht="12.75">
      <c r="A12" s="4"/>
      <c r="B12" s="5"/>
      <c r="C12" s="5" t="s">
        <v>257</v>
      </c>
      <c r="D12" s="5"/>
      <c r="E12" s="189">
        <f>'Detailed Data'!G30</f>
        <v>1500</v>
      </c>
      <c r="F12" s="189">
        <f>'Detailed Data'!H30</f>
        <v>300</v>
      </c>
      <c r="G12" s="31">
        <f>SUM(F12*12+E12)</f>
        <v>5100</v>
      </c>
      <c r="H12" s="6"/>
    </row>
    <row r="13" spans="1:8" ht="12.75">
      <c r="A13" s="4"/>
      <c r="B13" s="5"/>
      <c r="C13" s="5" t="s">
        <v>123</v>
      </c>
      <c r="D13" s="5"/>
      <c r="E13" s="189">
        <f>'Detailed Data'!G31</f>
        <v>800</v>
      </c>
      <c r="F13" s="189">
        <f>'Detailed Data'!H31</f>
        <v>500</v>
      </c>
      <c r="G13" s="31">
        <f>SUM(F13*12+E13)</f>
        <v>6800</v>
      </c>
      <c r="H13" s="6"/>
    </row>
    <row r="14" spans="1:8" ht="12.75">
      <c r="A14" s="4"/>
      <c r="B14" s="5"/>
      <c r="C14" s="5" t="s">
        <v>124</v>
      </c>
      <c r="D14" s="5"/>
      <c r="E14" s="189">
        <f>'Detailed Data'!G32</f>
        <v>0</v>
      </c>
      <c r="F14" s="189">
        <f>'Detailed Data'!H32</f>
        <v>200</v>
      </c>
      <c r="G14" s="31">
        <f>SUM(F14*12+E14)</f>
        <v>2400</v>
      </c>
      <c r="H14" s="6"/>
    </row>
    <row r="15" spans="1:8" ht="13.5" thickBot="1">
      <c r="A15" s="4"/>
      <c r="B15" s="22"/>
      <c r="C15" s="22" t="s">
        <v>125</v>
      </c>
      <c r="D15" s="22"/>
      <c r="E15" s="188">
        <f>'Detailed Data'!G33</f>
        <v>0</v>
      </c>
      <c r="F15" s="188">
        <f>'Detailed Data'!H33</f>
        <v>0</v>
      </c>
      <c r="G15" s="35">
        <f>SUM(F15*12+E15)</f>
        <v>0</v>
      </c>
      <c r="H15" s="6"/>
    </row>
    <row r="16" spans="1:8" ht="13.5" thickTop="1">
      <c r="A16" s="4"/>
      <c r="B16" s="5" t="s">
        <v>269</v>
      </c>
      <c r="C16" s="5"/>
      <c r="D16" s="5"/>
      <c r="E16" s="5"/>
      <c r="F16" s="5"/>
      <c r="G16" s="31">
        <f>SUM(G11:G15)</f>
        <v>19300</v>
      </c>
      <c r="H16" s="6"/>
    </row>
    <row r="17" spans="1:8" ht="12.75">
      <c r="A17" s="4"/>
      <c r="B17" s="5"/>
      <c r="C17" s="5"/>
      <c r="D17" s="5"/>
      <c r="E17" s="5"/>
      <c r="F17" s="5"/>
      <c r="G17" s="31"/>
      <c r="H17" s="6"/>
    </row>
    <row r="18" spans="1:8" ht="12.75">
      <c r="A18" s="4"/>
      <c r="B18" s="15" t="s">
        <v>432</v>
      </c>
      <c r="C18" s="5"/>
      <c r="D18" s="5"/>
      <c r="E18" s="81"/>
      <c r="F18" s="81"/>
      <c r="G18" s="31"/>
      <c r="H18" s="6"/>
    </row>
    <row r="19" spans="1:8" ht="12.75">
      <c r="A19" s="4"/>
      <c r="B19" s="5"/>
      <c r="C19" s="5" t="s">
        <v>171</v>
      </c>
      <c r="D19" s="5"/>
      <c r="E19" s="189">
        <f>'Detailed Data'!G35</f>
        <v>100</v>
      </c>
      <c r="F19" s="189">
        <f>'Detailed Data'!H35</f>
        <v>35</v>
      </c>
      <c r="G19" s="95">
        <v>156000</v>
      </c>
      <c r="H19" s="6"/>
    </row>
    <row r="20" spans="1:8" ht="12.75">
      <c r="A20" s="4"/>
      <c r="B20" s="5"/>
      <c r="C20" s="5" t="s">
        <v>17</v>
      </c>
      <c r="D20" s="5"/>
      <c r="E20" s="189">
        <f>'Detailed Data'!G36</f>
        <v>150</v>
      </c>
      <c r="F20" s="189">
        <f>'Detailed Data'!H36</f>
        <v>50</v>
      </c>
      <c r="G20" s="95">
        <v>0</v>
      </c>
      <c r="H20" s="6"/>
    </row>
    <row r="21" spans="1:8" ht="13.5" thickBot="1">
      <c r="A21" s="4"/>
      <c r="B21" s="22"/>
      <c r="C21" s="22" t="s">
        <v>20</v>
      </c>
      <c r="D21" s="22"/>
      <c r="E21" s="188">
        <f>'Detailed Data'!G37</f>
        <v>120</v>
      </c>
      <c r="F21" s="188">
        <f>'Detailed Data'!H37</f>
        <v>60</v>
      </c>
      <c r="G21" s="152">
        <v>0</v>
      </c>
      <c r="H21" s="6"/>
    </row>
    <row r="22" spans="1:8" ht="13.5" thickTop="1">
      <c r="A22" s="4"/>
      <c r="B22" s="5"/>
      <c r="C22" s="5"/>
      <c r="D22" s="5"/>
      <c r="E22" s="5"/>
      <c r="F22" s="5"/>
      <c r="G22" s="31">
        <f>SUM(G19:G21)</f>
        <v>156000</v>
      </c>
      <c r="H22" s="6"/>
    </row>
    <row r="23" spans="1:8" ht="12.75">
      <c r="A23" s="4"/>
      <c r="B23" s="5"/>
      <c r="C23" s="5"/>
      <c r="D23" s="5"/>
      <c r="E23" s="5"/>
      <c r="F23" s="5"/>
      <c r="G23" s="31"/>
      <c r="H23" s="6"/>
    </row>
    <row r="24" spans="1:8" ht="12.75">
      <c r="A24" s="4"/>
      <c r="B24" s="127" t="s">
        <v>435</v>
      </c>
      <c r="C24" s="5"/>
      <c r="D24" s="128" t="s">
        <v>235</v>
      </c>
      <c r="E24" s="5" t="s">
        <v>160</v>
      </c>
      <c r="F24" s="5" t="s">
        <v>161</v>
      </c>
      <c r="G24" s="31"/>
      <c r="H24" s="6"/>
    </row>
    <row r="25" spans="1:8" ht="12.75">
      <c r="A25" s="4"/>
      <c r="B25" s="5"/>
      <c r="C25" s="126" t="s">
        <v>20</v>
      </c>
      <c r="D25" s="5">
        <f>'Front End'!F48</f>
        <v>0</v>
      </c>
      <c r="E25" s="189">
        <f>'Detailed Data'!G39</f>
        <v>120</v>
      </c>
      <c r="F25" s="189">
        <f>'Detailed Data'!H39</f>
        <v>150</v>
      </c>
      <c r="G25" s="31">
        <f>(SUM(F25*12+E25))*D25</f>
        <v>0</v>
      </c>
      <c r="H25" s="6"/>
    </row>
    <row r="26" spans="1:8" ht="12.75">
      <c r="A26" s="4"/>
      <c r="B26" s="5"/>
      <c r="C26" s="126" t="s">
        <v>234</v>
      </c>
      <c r="D26" s="5">
        <f>'Front End'!F49</f>
        <v>2</v>
      </c>
      <c r="E26" s="189">
        <f>'Detailed Data'!G40</f>
        <v>350</v>
      </c>
      <c r="F26" s="189">
        <f>'Detailed Data'!H40</f>
        <v>550</v>
      </c>
      <c r="G26" s="31">
        <f>(SUM(F26*12+E26))*D26</f>
        <v>13900</v>
      </c>
      <c r="H26" s="6"/>
    </row>
    <row r="27" spans="1:8" ht="12.75">
      <c r="A27" s="4"/>
      <c r="B27" s="5"/>
      <c r="C27" s="126" t="s">
        <v>14</v>
      </c>
      <c r="D27" s="5">
        <f>'Front End'!F50</f>
        <v>4</v>
      </c>
      <c r="E27" s="189">
        <f>'Detailed Data'!G41</f>
        <v>350</v>
      </c>
      <c r="F27" s="189">
        <f>'Detailed Data'!H41</f>
        <v>1000</v>
      </c>
      <c r="G27" s="31">
        <f>(SUM(F27*12+E27))*D27</f>
        <v>49400</v>
      </c>
      <c r="H27" s="6"/>
    </row>
    <row r="28" spans="1:8" ht="12.75">
      <c r="A28" s="4"/>
      <c r="B28" s="5"/>
      <c r="C28" s="126" t="s">
        <v>185</v>
      </c>
      <c r="D28" s="5">
        <f>'Front End'!F51</f>
        <v>0</v>
      </c>
      <c r="E28" s="189">
        <f>'Detailed Data'!G42</f>
        <v>350</v>
      </c>
      <c r="F28" s="189">
        <f>'Detailed Data'!H42</f>
        <v>1300</v>
      </c>
      <c r="G28" s="31">
        <f>(SUM(F28*12+E28))*D28</f>
        <v>0</v>
      </c>
      <c r="H28" s="6"/>
    </row>
    <row r="29" spans="1:8" ht="12.75">
      <c r="A29" s="4"/>
      <c r="B29" s="5"/>
      <c r="C29" s="101" t="s">
        <v>186</v>
      </c>
      <c r="D29" s="5">
        <f>'Front End'!F52</f>
        <v>0</v>
      </c>
      <c r="E29" s="189">
        <f>'Detailed Data'!G43</f>
        <v>350</v>
      </c>
      <c r="F29" s="189">
        <f>'Detailed Data'!H43</f>
        <v>2000</v>
      </c>
      <c r="G29" s="31">
        <f>(SUM(F29*12+E29))*D29</f>
        <v>0</v>
      </c>
      <c r="H29" s="6"/>
    </row>
    <row r="30" spans="1:8" ht="13.5" thickBot="1">
      <c r="A30" s="4"/>
      <c r="B30" s="22"/>
      <c r="C30" s="22" t="s">
        <v>227</v>
      </c>
      <c r="D30" s="22"/>
      <c r="E30" s="188">
        <f>'Detailed Data'!G44</f>
        <v>250</v>
      </c>
      <c r="F30" s="188">
        <f>'Detailed Data'!H44</f>
        <v>20000</v>
      </c>
      <c r="G30" s="57">
        <f>(SUM(F30*12+E30))</f>
        <v>240250</v>
      </c>
      <c r="H30" s="6"/>
    </row>
    <row r="31" spans="1:8" ht="13.5" thickTop="1">
      <c r="A31" s="4"/>
      <c r="B31" s="5" t="s">
        <v>269</v>
      </c>
      <c r="C31" s="5"/>
      <c r="D31" s="5"/>
      <c r="E31" s="5"/>
      <c r="F31" s="5"/>
      <c r="G31" s="95">
        <v>2215915</v>
      </c>
      <c r="H31" s="6"/>
    </row>
    <row r="32" spans="1:8" ht="12.75">
      <c r="A32" s="4"/>
      <c r="B32" s="5"/>
      <c r="C32" s="5"/>
      <c r="D32" s="5"/>
      <c r="E32" s="5"/>
      <c r="F32" s="5"/>
      <c r="G32" s="31"/>
      <c r="H32" s="6"/>
    </row>
    <row r="33" spans="1:8" ht="12.75">
      <c r="A33" s="4"/>
      <c r="B33" s="15" t="s">
        <v>433</v>
      </c>
      <c r="C33" s="5"/>
      <c r="D33" s="128" t="s">
        <v>235</v>
      </c>
      <c r="E33" s="5" t="s">
        <v>160</v>
      </c>
      <c r="F33" s="5" t="s">
        <v>161</v>
      </c>
      <c r="G33" s="31"/>
      <c r="H33" s="6"/>
    </row>
    <row r="34" spans="1:8" ht="12.75">
      <c r="A34" s="4"/>
      <c r="B34" s="5"/>
      <c r="C34" s="5" t="s">
        <v>14</v>
      </c>
      <c r="D34" s="5">
        <f>'Front End'!G50</f>
        <v>3</v>
      </c>
      <c r="E34" s="189">
        <f>'Detailed Data'!G46</f>
        <v>350</v>
      </c>
      <c r="F34" s="189">
        <f>'Detailed Data'!H46</f>
        <v>1000</v>
      </c>
      <c r="G34" s="72">
        <f>(F34*12+E34)*D34</f>
        <v>37050</v>
      </c>
      <c r="H34" s="6"/>
    </row>
    <row r="35" spans="1:8" ht="12.75">
      <c r="A35" s="4"/>
      <c r="B35" s="5"/>
      <c r="C35" s="5" t="s">
        <v>185</v>
      </c>
      <c r="D35" s="5">
        <f>'Front End'!G51</f>
        <v>0</v>
      </c>
      <c r="E35" s="189">
        <f>'Detailed Data'!G47</f>
        <v>350</v>
      </c>
      <c r="F35" s="189">
        <f>'Detailed Data'!H47</f>
        <v>1300</v>
      </c>
      <c r="G35" s="72">
        <f>(F35*12+E35)*D35</f>
        <v>0</v>
      </c>
      <c r="H35" s="6"/>
    </row>
    <row r="36" spans="1:8" ht="13.5" thickBot="1">
      <c r="A36" s="4"/>
      <c r="B36" s="22"/>
      <c r="C36" s="22" t="s">
        <v>186</v>
      </c>
      <c r="D36" s="22">
        <f>'Front End'!G52</f>
        <v>0</v>
      </c>
      <c r="E36" s="188">
        <f>'Detailed Data'!G48</f>
        <v>350</v>
      </c>
      <c r="F36" s="188">
        <f>'Detailed Data'!H48</f>
        <v>0</v>
      </c>
      <c r="G36" s="57">
        <f>(F36*12+E36)*D36</f>
        <v>0</v>
      </c>
      <c r="H36" s="6"/>
    </row>
    <row r="37" spans="1:8" ht="13.5" thickTop="1">
      <c r="A37" s="4"/>
      <c r="B37" s="5" t="s">
        <v>269</v>
      </c>
      <c r="C37" s="5"/>
      <c r="D37" s="5"/>
      <c r="E37" s="5"/>
      <c r="F37" s="5"/>
      <c r="G37" s="95">
        <v>581685</v>
      </c>
      <c r="H37" s="6"/>
    </row>
    <row r="38" spans="1:8" ht="12.75">
      <c r="A38" s="4"/>
      <c r="B38" s="5"/>
      <c r="C38" s="5"/>
      <c r="D38" s="5"/>
      <c r="E38" s="5"/>
      <c r="F38" s="5"/>
      <c r="G38" s="31"/>
      <c r="H38" s="6"/>
    </row>
    <row r="39" spans="1:8" ht="12.75">
      <c r="A39" s="4"/>
      <c r="B39" s="15" t="s">
        <v>434</v>
      </c>
      <c r="C39" s="5"/>
      <c r="D39" s="5"/>
      <c r="E39" s="5"/>
      <c r="F39" s="5"/>
      <c r="G39" s="31"/>
      <c r="H39" s="6"/>
    </row>
    <row r="40" spans="1:8" ht="12.75">
      <c r="A40" s="4"/>
      <c r="B40" s="5"/>
      <c r="C40" s="5" t="s">
        <v>126</v>
      </c>
      <c r="D40" s="5"/>
      <c r="E40" s="5"/>
      <c r="F40" s="5"/>
      <c r="G40" s="189">
        <f>'Detailed Data'!H50</f>
        <v>0</v>
      </c>
      <c r="H40" s="6"/>
    </row>
    <row r="41" spans="1:8" ht="13.5" thickBot="1">
      <c r="A41" s="4"/>
      <c r="B41" s="22"/>
      <c r="C41" s="22" t="s">
        <v>532</v>
      </c>
      <c r="D41" s="22"/>
      <c r="E41" s="22"/>
      <c r="F41" s="22"/>
      <c r="G41" s="91">
        <f>'Detailed Data'!H51</f>
        <v>0</v>
      </c>
      <c r="H41" s="6"/>
    </row>
    <row r="42" spans="1:8" ht="13.5" thickTop="1">
      <c r="A42" s="4"/>
      <c r="B42" s="5" t="s">
        <v>269</v>
      </c>
      <c r="C42" s="5"/>
      <c r="D42" s="5"/>
      <c r="E42" s="5"/>
      <c r="F42" s="5"/>
      <c r="G42" s="31">
        <f>SUM(G40:G41)</f>
        <v>0</v>
      </c>
      <c r="H42" s="6"/>
    </row>
    <row r="43" spans="1:8" ht="13.5" thickBot="1">
      <c r="A43" s="4"/>
      <c r="B43" s="5"/>
      <c r="C43" s="5"/>
      <c r="D43" s="5"/>
      <c r="E43" s="5"/>
      <c r="F43" s="5"/>
      <c r="G43" s="31"/>
      <c r="H43" s="6"/>
    </row>
    <row r="44" spans="1:8" ht="14.25" thickBot="1" thickTop="1">
      <c r="A44" s="4"/>
      <c r="B44" s="37" t="s">
        <v>267</v>
      </c>
      <c r="C44" s="38"/>
      <c r="D44" s="38"/>
      <c r="E44" s="38"/>
      <c r="F44" s="38"/>
      <c r="G44" s="39">
        <f>SUM(G42,G37,G31,G22,G16,G8)</f>
        <v>5978900</v>
      </c>
      <c r="H44" s="6"/>
    </row>
    <row r="45" spans="1:8" ht="13.5" thickTop="1">
      <c r="A45" s="4"/>
      <c r="B45" s="5"/>
      <c r="C45" s="5"/>
      <c r="D45" s="5"/>
      <c r="E45" s="5"/>
      <c r="F45" s="5"/>
      <c r="G45" s="31"/>
      <c r="H45" s="6"/>
    </row>
    <row r="46" spans="1:8" ht="13.5" thickBot="1">
      <c r="A46" s="7"/>
      <c r="B46" s="8"/>
      <c r="C46" s="8"/>
      <c r="D46" s="8"/>
      <c r="E46" s="8"/>
      <c r="F46" s="8"/>
      <c r="G46" s="50"/>
      <c r="H46" s="9"/>
    </row>
    <row r="47" ht="13.5" thickTop="1"/>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60">
      <c r="A56" s="134" t="s">
        <v>249</v>
      </c>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60">
      <c r="A64" s="134"/>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60">
      <c r="A75" s="133"/>
      <c r="B75" s="133"/>
      <c r="C75" s="133"/>
      <c r="D75" s="134"/>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39.xml><?xml version="1.0" encoding="utf-8"?>
<worksheet xmlns="http://schemas.openxmlformats.org/spreadsheetml/2006/main" xmlns:r="http://schemas.openxmlformats.org/officeDocument/2006/relationships">
  <sheetPr codeName="Sheet143">
    <pageSetUpPr fitToPage="1"/>
  </sheetPr>
  <dimension ref="A1:O69"/>
  <sheetViews>
    <sheetView workbookViewId="0" topLeftCell="A30">
      <selection activeCell="G8" sqref="G8"/>
    </sheetView>
  </sheetViews>
  <sheetFormatPr defaultColWidth="9.140625" defaultRowHeight="12.75"/>
  <cols>
    <col min="2" max="2" width="12.28125" style="0" customWidth="1"/>
    <col min="5" max="6" width="11.57421875" style="0" customWidth="1"/>
    <col min="7" max="7" width="16.140625" style="0" customWidth="1"/>
  </cols>
  <sheetData>
    <row r="1" spans="1:8" ht="13.5" thickTop="1">
      <c r="A1" s="2"/>
      <c r="B1" s="3"/>
      <c r="C1" s="3"/>
      <c r="D1" s="3"/>
      <c r="E1" s="3"/>
      <c r="F1" s="3"/>
      <c r="G1" s="3"/>
      <c r="H1" s="13"/>
    </row>
    <row r="2" spans="1:8" ht="15">
      <c r="A2" s="65" t="s">
        <v>192</v>
      </c>
      <c r="B2" s="5"/>
      <c r="C2" s="5"/>
      <c r="D2" s="5"/>
      <c r="E2" s="5"/>
      <c r="F2" s="5"/>
      <c r="G2" s="5"/>
      <c r="H2" s="6"/>
    </row>
    <row r="3" spans="1:8" ht="12.75">
      <c r="A3" s="4"/>
      <c r="B3" s="5"/>
      <c r="C3" s="5"/>
      <c r="D3" s="5"/>
      <c r="E3" s="5"/>
      <c r="F3" s="5"/>
      <c r="G3" s="5"/>
      <c r="H3" s="6"/>
    </row>
    <row r="4" spans="1:8" ht="15.75">
      <c r="A4" s="4"/>
      <c r="B4" s="30" t="s">
        <v>436</v>
      </c>
      <c r="C4" s="5"/>
      <c r="D4" s="5"/>
      <c r="E4" s="5"/>
      <c r="F4" s="5"/>
      <c r="G4" s="5"/>
      <c r="H4" s="6"/>
    </row>
    <row r="5" spans="1:8" ht="12.75">
      <c r="A5" s="4"/>
      <c r="B5" s="5"/>
      <c r="C5" s="5"/>
      <c r="D5" s="5"/>
      <c r="E5" s="5"/>
      <c r="F5" s="5"/>
      <c r="G5" s="5"/>
      <c r="H5" s="6"/>
    </row>
    <row r="6" spans="1:8" ht="12.75">
      <c r="A6" s="4"/>
      <c r="B6" s="15" t="s">
        <v>437</v>
      </c>
      <c r="C6" s="5"/>
      <c r="D6" s="5"/>
      <c r="E6" s="5"/>
      <c r="F6" s="5"/>
      <c r="G6" s="101" t="s">
        <v>41</v>
      </c>
      <c r="H6" s="6"/>
    </row>
    <row r="7" spans="1:8" ht="13.5" thickBot="1">
      <c r="A7" s="4"/>
      <c r="B7" s="22"/>
      <c r="C7" s="22" t="s">
        <v>165</v>
      </c>
      <c r="D7" s="22"/>
      <c r="E7" s="22"/>
      <c r="F7" s="89">
        <f>'Application Maintenance'!H7</f>
        <v>1.25</v>
      </c>
      <c r="G7" s="35">
        <f>'Calculation Sheet'!E11/52/40*F7*12</f>
        <v>547.6658653846154</v>
      </c>
      <c r="H7" s="6"/>
    </row>
    <row r="8" spans="1:8" ht="13.5" thickTop="1">
      <c r="A8" s="4"/>
      <c r="B8" s="5" t="s">
        <v>269</v>
      </c>
      <c r="C8" s="5"/>
      <c r="D8" s="5"/>
      <c r="E8" s="5"/>
      <c r="F8" s="5"/>
      <c r="G8" s="31">
        <f>SUM(G7)</f>
        <v>547.6658653846154</v>
      </c>
      <c r="H8" s="6"/>
    </row>
    <row r="9" spans="1:8" ht="12.75">
      <c r="A9" s="4"/>
      <c r="B9" s="5"/>
      <c r="C9" s="5"/>
      <c r="D9" s="5"/>
      <c r="E9" s="5"/>
      <c r="F9" s="5"/>
      <c r="G9" s="5"/>
      <c r="H9" s="6"/>
    </row>
    <row r="10" spans="1:8" ht="12.75">
      <c r="A10" s="4"/>
      <c r="B10" s="15" t="s">
        <v>438</v>
      </c>
      <c r="C10" s="5"/>
      <c r="D10" s="5"/>
      <c r="E10" s="5"/>
      <c r="F10" s="5"/>
      <c r="G10" s="31"/>
      <c r="H10" s="6"/>
    </row>
    <row r="11" spans="1:8" ht="13.5" thickBot="1">
      <c r="A11" s="4"/>
      <c r="B11" s="22"/>
      <c r="C11" s="22" t="s">
        <v>128</v>
      </c>
      <c r="D11" s="22"/>
      <c r="E11" s="22"/>
      <c r="F11" s="22"/>
      <c r="G11" s="91">
        <f>'Application Maintenance'!G10</f>
        <v>0</v>
      </c>
      <c r="H11" s="6"/>
    </row>
    <row r="12" spans="1:8" ht="13.5" thickTop="1">
      <c r="A12" s="4"/>
      <c r="B12" s="5" t="s">
        <v>269</v>
      </c>
      <c r="C12" s="5"/>
      <c r="D12" s="5"/>
      <c r="E12" s="5"/>
      <c r="F12" s="5"/>
      <c r="G12" s="31">
        <f>SUM(G11)</f>
        <v>0</v>
      </c>
      <c r="H12" s="6"/>
    </row>
    <row r="13" spans="1:8" ht="12.75">
      <c r="A13" s="4"/>
      <c r="B13" s="5"/>
      <c r="C13" s="5"/>
      <c r="D13" s="5"/>
      <c r="E13" s="5"/>
      <c r="F13" s="5"/>
      <c r="G13" s="31"/>
      <c r="H13" s="6"/>
    </row>
    <row r="14" spans="1:8" ht="12.75">
      <c r="A14" s="4"/>
      <c r="B14" s="15" t="s">
        <v>439</v>
      </c>
      <c r="C14" s="5"/>
      <c r="D14" s="5"/>
      <c r="E14" s="5"/>
      <c r="F14" s="5"/>
      <c r="G14" s="31"/>
      <c r="H14" s="6"/>
    </row>
    <row r="15" spans="1:8" ht="12.75">
      <c r="A15" s="4"/>
      <c r="B15" s="5"/>
      <c r="C15" s="5" t="s">
        <v>129</v>
      </c>
      <c r="D15" s="5"/>
      <c r="E15" s="5"/>
      <c r="F15" s="5"/>
      <c r="G15" s="85">
        <f>'Application Maintenance'!G13</f>
        <v>100</v>
      </c>
      <c r="H15" s="6"/>
    </row>
    <row r="16" spans="1:8" ht="12.75">
      <c r="A16" s="4"/>
      <c r="B16" s="5"/>
      <c r="C16" s="5" t="s">
        <v>130</v>
      </c>
      <c r="D16" s="5"/>
      <c r="E16" s="5"/>
      <c r="F16" s="5"/>
      <c r="G16" s="85">
        <f>'Application Maintenance'!G14</f>
        <v>600</v>
      </c>
      <c r="H16" s="6"/>
    </row>
    <row r="17" spans="1:8" ht="13.5" thickBot="1">
      <c r="A17" s="4"/>
      <c r="B17" s="22"/>
      <c r="C17" s="22" t="s">
        <v>131</v>
      </c>
      <c r="D17" s="22"/>
      <c r="E17" s="22"/>
      <c r="F17" s="22"/>
      <c r="G17" s="91">
        <f>'Application Maintenance'!G15</f>
        <v>400</v>
      </c>
      <c r="H17" s="6"/>
    </row>
    <row r="18" spans="1:8" ht="13.5" thickTop="1">
      <c r="A18" s="4"/>
      <c r="B18" s="5" t="s">
        <v>269</v>
      </c>
      <c r="C18" s="5"/>
      <c r="D18" s="5"/>
      <c r="E18" s="5"/>
      <c r="F18" s="5"/>
      <c r="G18" s="95">
        <v>1000</v>
      </c>
      <c r="H18" s="6"/>
    </row>
    <row r="19" spans="1:8" ht="13.5" thickBot="1">
      <c r="A19" s="4"/>
      <c r="B19" s="5"/>
      <c r="C19" s="5"/>
      <c r="D19" s="5"/>
      <c r="E19" s="5"/>
      <c r="F19" s="5"/>
      <c r="G19" s="31"/>
      <c r="H19" s="6"/>
    </row>
    <row r="20" spans="1:8" ht="14.25" thickBot="1" thickTop="1">
      <c r="A20" s="4"/>
      <c r="B20" s="37"/>
      <c r="C20" s="38"/>
      <c r="D20" s="38"/>
      <c r="E20" s="38"/>
      <c r="F20" s="38"/>
      <c r="G20" s="150">
        <v>1547.67</v>
      </c>
      <c r="H20" s="6"/>
    </row>
    <row r="21" spans="1:8" ht="13.5" thickTop="1">
      <c r="A21" s="4"/>
      <c r="B21" s="5"/>
      <c r="C21" s="5"/>
      <c r="D21" s="5"/>
      <c r="E21" s="5"/>
      <c r="F21" s="5"/>
      <c r="G21" s="5"/>
      <c r="H21" s="6"/>
    </row>
    <row r="22" spans="1:8" ht="12.75">
      <c r="A22" s="4"/>
      <c r="B22" s="66"/>
      <c r="C22" s="5"/>
      <c r="D22" s="5"/>
      <c r="E22" s="5"/>
      <c r="F22" s="5"/>
      <c r="G22" s="5"/>
      <c r="H22" s="6"/>
    </row>
    <row r="23" spans="1:8" ht="12.75">
      <c r="A23" s="4"/>
      <c r="B23" s="32"/>
      <c r="C23" s="5"/>
      <c r="D23" s="5"/>
      <c r="E23" s="5"/>
      <c r="F23" s="5"/>
      <c r="G23" s="5"/>
      <c r="H23" s="6"/>
    </row>
    <row r="24" spans="1:8" ht="13.5" thickBot="1">
      <c r="A24" s="7"/>
      <c r="B24" s="8"/>
      <c r="C24" s="8"/>
      <c r="D24" s="8"/>
      <c r="E24" s="8"/>
      <c r="F24" s="8"/>
      <c r="G24" s="8"/>
      <c r="H24" s="9"/>
    </row>
    <row r="25"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4.xml><?xml version="1.0" encoding="utf-8"?>
<worksheet xmlns="http://schemas.openxmlformats.org/spreadsheetml/2006/main" xmlns:r="http://schemas.openxmlformats.org/officeDocument/2006/relationships">
  <sheetPr codeName="Sheet22">
    <pageSetUpPr fitToPage="1"/>
  </sheetPr>
  <dimension ref="A1:K33"/>
  <sheetViews>
    <sheetView workbookViewId="0" topLeftCell="A1">
      <pane xSplit="9" ySplit="31" topLeftCell="L34" activePane="bottomRight" state="frozen"/>
      <selection pane="topLeft" activeCell="A1" sqref="A1"/>
      <selection pane="topRight" activeCell="J1" sqref="J1"/>
      <selection pane="bottomLeft" activeCell="A32" sqref="A32"/>
      <selection pane="bottomRight" activeCell="A1" sqref="A1"/>
    </sheetView>
  </sheetViews>
  <sheetFormatPr defaultColWidth="9.140625" defaultRowHeight="12.75"/>
  <cols>
    <col min="2" max="4" width="13.7109375" style="0" customWidth="1"/>
    <col min="5" max="5" width="16.57421875" style="0" customWidth="1"/>
    <col min="6" max="6" width="15.28125" style="0" customWidth="1"/>
    <col min="7" max="9" width="13.7109375" style="0" customWidth="1"/>
  </cols>
  <sheetData>
    <row r="1" spans="1:11" ht="12.75">
      <c r="A1" s="305" t="s">
        <v>539</v>
      </c>
      <c r="B1" s="301"/>
      <c r="C1" s="301"/>
      <c r="D1" s="301"/>
      <c r="E1" s="301"/>
      <c r="F1" s="301"/>
      <c r="G1" s="301"/>
      <c r="H1" s="301"/>
      <c r="I1" s="301"/>
      <c r="J1" s="301"/>
      <c r="K1" s="301"/>
    </row>
    <row r="2" spans="1:11" ht="13.5" thickBot="1">
      <c r="A2" s="301"/>
      <c r="B2" s="301"/>
      <c r="C2" s="301"/>
      <c r="D2" s="301"/>
      <c r="E2" s="301"/>
      <c r="F2" s="301"/>
      <c r="G2" s="301"/>
      <c r="H2" s="301"/>
      <c r="I2" s="301"/>
      <c r="J2" s="301"/>
      <c r="K2" s="301"/>
    </row>
    <row r="3" spans="1:11" ht="13.5" thickTop="1">
      <c r="A3" s="301"/>
      <c r="B3" s="2"/>
      <c r="C3" s="3"/>
      <c r="D3" s="3"/>
      <c r="E3" s="3"/>
      <c r="F3" s="3"/>
      <c r="G3" s="3"/>
      <c r="H3" s="3"/>
      <c r="I3" s="13"/>
      <c r="J3" s="301"/>
      <c r="K3" s="301"/>
    </row>
    <row r="4" spans="1:11" ht="15.75">
      <c r="A4" s="301"/>
      <c r="B4" s="14" t="s">
        <v>540</v>
      </c>
      <c r="C4" s="5"/>
      <c r="D4" s="5"/>
      <c r="E4" s="5"/>
      <c r="F4" s="5"/>
      <c r="G4" s="5"/>
      <c r="H4" s="5"/>
      <c r="I4" s="6"/>
      <c r="J4" s="301"/>
      <c r="K4" s="301"/>
    </row>
    <row r="5" spans="1:11" ht="12.75">
      <c r="A5" s="301"/>
      <c r="B5" s="4"/>
      <c r="C5" s="5"/>
      <c r="D5" s="5"/>
      <c r="E5" s="5"/>
      <c r="F5" s="5"/>
      <c r="G5" s="5"/>
      <c r="H5" s="5"/>
      <c r="I5" s="6"/>
      <c r="J5" s="301"/>
      <c r="K5" s="301"/>
    </row>
    <row r="6" spans="1:11" ht="12.75">
      <c r="A6" s="301"/>
      <c r="B6" s="4"/>
      <c r="C6" s="16" t="s">
        <v>188</v>
      </c>
      <c r="D6" s="5"/>
      <c r="E6" s="5"/>
      <c r="F6" s="270">
        <f>'Calculation Sheet'!B29</f>
        <v>35</v>
      </c>
      <c r="G6" s="5"/>
      <c r="H6" s="5"/>
      <c r="I6" s="6"/>
      <c r="J6" s="301"/>
      <c r="K6" s="301"/>
    </row>
    <row r="7" spans="1:11" ht="12.75">
      <c r="A7" s="301"/>
      <c r="B7" s="4"/>
      <c r="C7" s="5"/>
      <c r="D7" s="269" t="s">
        <v>35</v>
      </c>
      <c r="E7" s="270"/>
      <c r="F7" s="271">
        <f>'Detailed Data'!H23</f>
        <v>0.33</v>
      </c>
      <c r="G7" s="5"/>
      <c r="H7" s="5"/>
      <c r="I7" s="6"/>
      <c r="J7" s="301"/>
      <c r="K7" s="301"/>
    </row>
    <row r="8" spans="1:11" ht="12.75">
      <c r="A8" s="301"/>
      <c r="B8" s="4"/>
      <c r="C8" s="5"/>
      <c r="D8" s="15" t="s">
        <v>47</v>
      </c>
      <c r="E8" s="5"/>
      <c r="F8" s="5"/>
      <c r="G8" s="139" t="s">
        <v>536</v>
      </c>
      <c r="H8" s="5"/>
      <c r="I8" s="6"/>
      <c r="J8" s="301"/>
      <c r="K8" s="301"/>
    </row>
    <row r="9" spans="1:11" ht="12.75">
      <c r="A9" s="301"/>
      <c r="B9" s="4"/>
      <c r="C9" s="5"/>
      <c r="D9" s="5" t="s">
        <v>48</v>
      </c>
      <c r="E9" s="78"/>
      <c r="F9" s="243">
        <v>40000</v>
      </c>
      <c r="G9" s="299">
        <f>SUM(F9*F7+F9)/52/F6</f>
        <v>29.23076923076923</v>
      </c>
      <c r="H9" s="5"/>
      <c r="I9" s="6"/>
      <c r="J9" s="301"/>
      <c r="K9" s="301"/>
    </row>
    <row r="10" spans="1:11" ht="12.75">
      <c r="A10" s="301"/>
      <c r="B10" s="4"/>
      <c r="C10" s="5"/>
      <c r="D10" s="5" t="s">
        <v>270</v>
      </c>
      <c r="E10" s="78"/>
      <c r="F10" s="243">
        <v>80000</v>
      </c>
      <c r="G10" s="299">
        <f>SUM(F10*F7+F10)/52/F6</f>
        <v>58.46153846153846</v>
      </c>
      <c r="H10" s="5"/>
      <c r="I10" s="6"/>
      <c r="J10" s="301"/>
      <c r="K10" s="301"/>
    </row>
    <row r="11" spans="1:11" ht="12.75">
      <c r="A11" s="301"/>
      <c r="B11" s="4"/>
      <c r="C11" s="5"/>
      <c r="D11" s="5" t="s">
        <v>49</v>
      </c>
      <c r="E11" s="78"/>
      <c r="F11" s="243">
        <v>150000</v>
      </c>
      <c r="G11" s="299">
        <f>SUM(F11*F7+F11)/52/F6</f>
        <v>109.61538461538461</v>
      </c>
      <c r="H11" s="5"/>
      <c r="I11" s="6"/>
      <c r="J11" s="301"/>
      <c r="K11" s="301"/>
    </row>
    <row r="12" spans="1:11" ht="13.5" thickBot="1">
      <c r="A12" s="301"/>
      <c r="B12" s="7"/>
      <c r="C12" s="8"/>
      <c r="D12" s="8"/>
      <c r="E12" s="8"/>
      <c r="F12" s="8"/>
      <c r="G12" s="8"/>
      <c r="H12" s="8"/>
      <c r="I12" s="9"/>
      <c r="J12" s="301"/>
      <c r="K12" s="301"/>
    </row>
    <row r="13" spans="1:11" ht="14.25" thickBot="1" thickTop="1">
      <c r="A13" s="301"/>
      <c r="B13" s="301"/>
      <c r="C13" s="301"/>
      <c r="D13" s="301"/>
      <c r="E13" s="301"/>
      <c r="F13" s="301"/>
      <c r="G13" s="301"/>
      <c r="H13" s="301"/>
      <c r="I13" s="301"/>
      <c r="J13" s="301"/>
      <c r="K13" s="301"/>
    </row>
    <row r="14" spans="1:11" ht="13.5" thickTop="1">
      <c r="A14" s="301"/>
      <c r="B14" s="2"/>
      <c r="C14" s="3"/>
      <c r="D14" s="3"/>
      <c r="E14" s="3"/>
      <c r="F14" s="3"/>
      <c r="G14" s="3"/>
      <c r="H14" s="3"/>
      <c r="I14" s="13"/>
      <c r="J14" s="301"/>
      <c r="K14" s="301"/>
    </row>
    <row r="15" spans="1:11" ht="15.75">
      <c r="A15" s="301"/>
      <c r="B15" s="14" t="s">
        <v>541</v>
      </c>
      <c r="C15" s="5"/>
      <c r="D15" s="5"/>
      <c r="E15" s="5"/>
      <c r="F15" s="5"/>
      <c r="G15" s="5"/>
      <c r="H15" s="5"/>
      <c r="I15" s="6"/>
      <c r="J15" s="301"/>
      <c r="K15" s="301"/>
    </row>
    <row r="16" spans="1:11" ht="25.5">
      <c r="A16" s="301"/>
      <c r="B16" s="4"/>
      <c r="C16" s="5"/>
      <c r="D16" s="5"/>
      <c r="E16" s="5"/>
      <c r="F16" s="5"/>
      <c r="G16" s="311" t="s">
        <v>534</v>
      </c>
      <c r="H16" s="312" t="s">
        <v>533</v>
      </c>
      <c r="I16" s="313" t="s">
        <v>535</v>
      </c>
      <c r="J16" s="301"/>
      <c r="K16" s="301"/>
    </row>
    <row r="17" spans="1:11" ht="12.75">
      <c r="A17" s="301"/>
      <c r="B17" s="4"/>
      <c r="C17" s="15" t="s">
        <v>262</v>
      </c>
      <c r="D17" s="5"/>
      <c r="E17" s="5"/>
      <c r="F17" s="5"/>
      <c r="G17" s="274">
        <v>5</v>
      </c>
      <c r="H17" s="276">
        <v>2</v>
      </c>
      <c r="I17" s="314">
        <v>1</v>
      </c>
      <c r="J17" s="301"/>
      <c r="K17" s="301"/>
    </row>
    <row r="18" spans="1:11" ht="12.75">
      <c r="A18" s="301"/>
      <c r="B18" s="4"/>
      <c r="C18" s="15" t="s">
        <v>39</v>
      </c>
      <c r="D18" s="5"/>
      <c r="E18" s="5"/>
      <c r="F18" s="5"/>
      <c r="G18" s="274">
        <v>30</v>
      </c>
      <c r="H18" s="276">
        <v>15</v>
      </c>
      <c r="I18" s="314">
        <v>15</v>
      </c>
      <c r="J18" s="301"/>
      <c r="K18" s="301"/>
    </row>
    <row r="19" spans="1:11" ht="13.5" thickBot="1">
      <c r="A19" s="301"/>
      <c r="B19" s="7"/>
      <c r="C19" s="8"/>
      <c r="D19" s="8"/>
      <c r="E19" s="8"/>
      <c r="F19" s="8"/>
      <c r="G19" s="8"/>
      <c r="H19" s="8"/>
      <c r="I19" s="9"/>
      <c r="J19" s="301"/>
      <c r="K19" s="301"/>
    </row>
    <row r="20" spans="1:11" s="74" customFormat="1" ht="13.5" thickTop="1">
      <c r="A20" s="307"/>
      <c r="B20" s="307"/>
      <c r="C20" s="307"/>
      <c r="D20" s="307"/>
      <c r="E20" s="307"/>
      <c r="F20" s="307"/>
      <c r="G20" s="307"/>
      <c r="H20" s="307"/>
      <c r="I20" s="307"/>
      <c r="J20" s="307"/>
      <c r="K20" s="307"/>
    </row>
    <row r="21" spans="1:11" s="74" customFormat="1" ht="12.75">
      <c r="A21" s="307"/>
      <c r="B21" s="307"/>
      <c r="C21" s="307"/>
      <c r="D21" s="307"/>
      <c r="E21" s="307"/>
      <c r="F21" s="307"/>
      <c r="G21" s="307"/>
      <c r="H21" s="307"/>
      <c r="I21" s="307"/>
      <c r="J21" s="307"/>
      <c r="K21" s="307"/>
    </row>
    <row r="22" spans="1:11" ht="15.75">
      <c r="A22" s="301"/>
      <c r="B22" s="301"/>
      <c r="C22" s="300"/>
      <c r="D22" s="301"/>
      <c r="E22" s="301"/>
      <c r="F22" s="301"/>
      <c r="G22" s="301"/>
      <c r="H22" s="301"/>
      <c r="I22" s="301"/>
      <c r="J22" s="301"/>
      <c r="K22" s="301"/>
    </row>
    <row r="23" spans="1:11" ht="12.75">
      <c r="A23" s="301"/>
      <c r="B23" s="301"/>
      <c r="C23" s="301"/>
      <c r="D23" s="301"/>
      <c r="E23" s="301"/>
      <c r="F23" s="301"/>
      <c r="G23" s="301"/>
      <c r="H23" s="301"/>
      <c r="I23" s="301"/>
      <c r="J23" s="301"/>
      <c r="K23" s="301"/>
    </row>
    <row r="24" spans="1:11" ht="12.75">
      <c r="A24" s="301"/>
      <c r="B24" s="301"/>
      <c r="C24" s="301"/>
      <c r="D24" s="301"/>
      <c r="E24" s="301"/>
      <c r="F24" s="301"/>
      <c r="G24" s="301"/>
      <c r="H24" s="301"/>
      <c r="I24" s="301"/>
      <c r="J24" s="301"/>
      <c r="K24" s="301"/>
    </row>
    <row r="25" spans="1:11" ht="12.75">
      <c r="A25" s="301"/>
      <c r="B25" s="301"/>
      <c r="C25" s="301"/>
      <c r="D25" s="301"/>
      <c r="E25" s="301"/>
      <c r="F25" s="301"/>
      <c r="G25" s="301"/>
      <c r="H25" s="301"/>
      <c r="I25" s="301"/>
      <c r="J25" s="301"/>
      <c r="K25" s="301"/>
    </row>
    <row r="26" spans="1:11" ht="12.75">
      <c r="A26" s="301"/>
      <c r="B26" s="301"/>
      <c r="C26" s="301"/>
      <c r="D26" s="301"/>
      <c r="E26" s="301"/>
      <c r="F26" s="301"/>
      <c r="G26" s="301"/>
      <c r="H26" s="301"/>
      <c r="I26" s="301"/>
      <c r="J26" s="301"/>
      <c r="K26" s="301"/>
    </row>
    <row r="27" spans="1:11" ht="12.75">
      <c r="A27" s="301"/>
      <c r="B27" s="301"/>
      <c r="C27" s="301"/>
      <c r="D27" s="301"/>
      <c r="E27" s="301"/>
      <c r="F27" s="301"/>
      <c r="G27" s="301"/>
      <c r="H27" s="301"/>
      <c r="I27" s="301"/>
      <c r="J27" s="301"/>
      <c r="K27" s="301"/>
    </row>
    <row r="28" spans="1:11" ht="12.75">
      <c r="A28" s="301"/>
      <c r="B28" s="301"/>
      <c r="C28" s="301"/>
      <c r="D28" s="301"/>
      <c r="E28" s="301"/>
      <c r="F28" s="301"/>
      <c r="G28" s="301"/>
      <c r="H28" s="301"/>
      <c r="I28" s="301"/>
      <c r="J28" s="301"/>
      <c r="K28" s="301"/>
    </row>
    <row r="29" spans="1:11" ht="12.75">
      <c r="A29" s="301"/>
      <c r="B29" s="301"/>
      <c r="C29" s="301"/>
      <c r="D29" s="301"/>
      <c r="E29" s="301"/>
      <c r="F29" s="301"/>
      <c r="G29" s="301"/>
      <c r="H29" s="301"/>
      <c r="I29" s="301"/>
      <c r="J29" s="301"/>
      <c r="K29" s="301"/>
    </row>
    <row r="30" spans="1:11" ht="12.75">
      <c r="A30" s="301"/>
      <c r="B30" s="301"/>
      <c r="C30" s="301"/>
      <c r="D30" s="301"/>
      <c r="E30" s="301"/>
      <c r="F30" s="301"/>
      <c r="G30" s="301"/>
      <c r="H30" s="301"/>
      <c r="I30" s="301"/>
      <c r="J30" s="301"/>
      <c r="K30" s="301"/>
    </row>
    <row r="31" spans="1:11" ht="12.75">
      <c r="A31" s="301"/>
      <c r="B31" s="301"/>
      <c r="C31" s="301"/>
      <c r="D31" s="301"/>
      <c r="E31" s="301"/>
      <c r="F31" s="301"/>
      <c r="G31" s="301"/>
      <c r="H31" s="301"/>
      <c r="I31" s="301"/>
      <c r="J31" s="301"/>
      <c r="K31" s="301"/>
    </row>
    <row r="32" spans="1:11" ht="12.75">
      <c r="A32" s="301"/>
      <c r="B32" s="301"/>
      <c r="C32" s="301"/>
      <c r="D32" s="301"/>
      <c r="E32" s="301"/>
      <c r="F32" s="301"/>
      <c r="G32" s="301"/>
      <c r="H32" s="301"/>
      <c r="I32" s="301"/>
      <c r="J32" s="301"/>
      <c r="K32" s="301"/>
    </row>
    <row r="33" spans="1:11" ht="12.75">
      <c r="A33" s="301"/>
      <c r="B33" s="301"/>
      <c r="C33" s="301"/>
      <c r="D33" s="301"/>
      <c r="E33" s="301"/>
      <c r="F33" s="301"/>
      <c r="G33" s="301"/>
      <c r="H33" s="301"/>
      <c r="I33" s="301"/>
      <c r="J33" s="301"/>
      <c r="K33" s="301"/>
    </row>
    <row r="58" ht="16.5" customHeight="1"/>
    <row r="60" ht="15" customHeight="1"/>
  </sheetData>
  <printOptions/>
  <pageMargins left="0.75" right="0.75" top="1" bottom="1" header="0.5" footer="0.5"/>
  <pageSetup fitToHeight="1" fitToWidth="1" horizontalDpi="600" verticalDpi="600" orientation="portrait" scale="61" r:id="rId2"/>
  <headerFooter alignWithMargins="0">
    <oddHeader>&amp;CTotal Cost of Application Ownership (TCA) Calculator</oddHeader>
    <oddFooter>&amp;LThe Tolly Group TCA Calculator&amp;R© The Tolly Group, 1999</oddFooter>
  </headerFooter>
  <legacyDrawing r:id="rId1"/>
</worksheet>
</file>

<file path=xl/worksheets/sheet40.xml><?xml version="1.0" encoding="utf-8"?>
<worksheet xmlns="http://schemas.openxmlformats.org/spreadsheetml/2006/main" xmlns:r="http://schemas.openxmlformats.org/officeDocument/2006/relationships">
  <sheetPr codeName="Sheet153">
    <pageSetUpPr fitToPage="1"/>
  </sheetPr>
  <dimension ref="A1:O69"/>
  <sheetViews>
    <sheetView workbookViewId="0" topLeftCell="A30">
      <selection activeCell="A19" sqref="A19"/>
    </sheetView>
  </sheetViews>
  <sheetFormatPr defaultColWidth="9.140625" defaultRowHeight="12.75"/>
  <cols>
    <col min="4" max="4" width="12.57421875" style="0" customWidth="1"/>
    <col min="5" max="5" width="22.710937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440</v>
      </c>
      <c r="C3" s="5"/>
      <c r="D3" s="5"/>
      <c r="E3" s="5" t="s">
        <v>166</v>
      </c>
      <c r="F3" s="101" t="s">
        <v>41</v>
      </c>
      <c r="G3" s="6"/>
    </row>
    <row r="4" spans="1:7" ht="12.75">
      <c r="A4" s="4"/>
      <c r="B4" s="15" t="s">
        <v>441</v>
      </c>
      <c r="C4" s="5"/>
      <c r="D4" s="5"/>
      <c r="E4" s="160">
        <f>'Server Operations'!G5</f>
        <v>28</v>
      </c>
      <c r="F4" s="31">
        <f>'Calculation Sheet'!E16/52/40*E4*12</f>
        <v>15576.346153846154</v>
      </c>
      <c r="G4" s="6"/>
    </row>
    <row r="5" spans="1:7" ht="12.75">
      <c r="A5" s="4"/>
      <c r="B5" s="15" t="s">
        <v>442</v>
      </c>
      <c r="C5" s="5"/>
      <c r="D5" s="5"/>
      <c r="E5" s="160">
        <f>'Server Operations'!G6</f>
        <v>40</v>
      </c>
      <c r="F5" s="31">
        <f>'Calculation Sheet'!E16/52/40*E5*12</f>
        <v>22251.923076923078</v>
      </c>
      <c r="G5" s="6"/>
    </row>
    <row r="6" spans="1:7" ht="13.5" thickBot="1">
      <c r="A6" s="4"/>
      <c r="B6" s="21" t="s">
        <v>443</v>
      </c>
      <c r="C6" s="22"/>
      <c r="D6" s="22"/>
      <c r="E6" s="161">
        <f>'Server Operations'!G7</f>
        <v>40</v>
      </c>
      <c r="F6" s="35">
        <f>'Calculation Sheet'!E16/52/40*E6*12</f>
        <v>22251.923076923078</v>
      </c>
      <c r="G6" s="6"/>
    </row>
    <row r="7" spans="1:7" ht="13.5" thickTop="1">
      <c r="A7" s="4"/>
      <c r="B7" s="5" t="s">
        <v>269</v>
      </c>
      <c r="C7" s="5"/>
      <c r="D7" s="5"/>
      <c r="E7" s="5"/>
      <c r="F7" s="31">
        <f>SUM(F4:F6)</f>
        <v>60080.19230769231</v>
      </c>
      <c r="G7" s="6"/>
    </row>
    <row r="8" spans="1:7" ht="12.75">
      <c r="A8" s="4"/>
      <c r="B8" s="5"/>
      <c r="C8" s="5"/>
      <c r="D8" s="5"/>
      <c r="E8" s="5"/>
      <c r="F8" s="31"/>
      <c r="G8" s="6"/>
    </row>
    <row r="9" spans="1:7" ht="12.75">
      <c r="A9" s="4"/>
      <c r="B9" s="15" t="s">
        <v>444</v>
      </c>
      <c r="C9" s="5"/>
      <c r="D9" s="5"/>
      <c r="E9" s="5"/>
      <c r="F9" s="31"/>
      <c r="G9" s="6"/>
    </row>
    <row r="10" spans="1:7" ht="12.75">
      <c r="A10" s="4"/>
      <c r="B10" s="5"/>
      <c r="C10" s="5" t="s">
        <v>133</v>
      </c>
      <c r="D10" s="5"/>
      <c r="E10" s="5"/>
      <c r="F10" s="85">
        <f>'Server Operations'!F10</f>
        <v>1500</v>
      </c>
      <c r="G10" s="6"/>
    </row>
    <row r="11" spans="1:7" ht="13.5" thickBot="1">
      <c r="A11" s="4"/>
      <c r="B11" s="22"/>
      <c r="C11" s="22" t="s">
        <v>134</v>
      </c>
      <c r="D11" s="22"/>
      <c r="E11" s="22"/>
      <c r="F11" s="91">
        <f>'Server Operations'!F11</f>
        <v>3000</v>
      </c>
      <c r="G11" s="6"/>
    </row>
    <row r="12" spans="1:7" ht="13.5" thickTop="1">
      <c r="A12" s="4"/>
      <c r="B12" s="5" t="s">
        <v>269</v>
      </c>
      <c r="C12" s="5"/>
      <c r="D12" s="5"/>
      <c r="E12" s="5"/>
      <c r="F12" s="31">
        <f>F10+F11</f>
        <v>4500</v>
      </c>
      <c r="G12" s="6"/>
    </row>
    <row r="13" spans="1:7" ht="13.5" thickBot="1">
      <c r="A13" s="4"/>
      <c r="B13" s="5"/>
      <c r="C13" s="5"/>
      <c r="D13" s="5"/>
      <c r="E13" s="5"/>
      <c r="F13" s="31"/>
      <c r="G13" s="6"/>
    </row>
    <row r="14" spans="1:7" ht="14.25" thickBot="1" thickTop="1">
      <c r="A14" s="4"/>
      <c r="B14" s="37" t="s">
        <v>135</v>
      </c>
      <c r="C14" s="38"/>
      <c r="D14" s="38"/>
      <c r="E14" s="38"/>
      <c r="F14" s="39">
        <f>SUM(F12,F7)</f>
        <v>64580.19230769231</v>
      </c>
      <c r="G14" s="6"/>
    </row>
    <row r="15" spans="1:7" ht="13.5" thickTop="1">
      <c r="A15" s="4"/>
      <c r="B15" s="5"/>
      <c r="C15" s="5"/>
      <c r="D15" s="5"/>
      <c r="E15" s="5"/>
      <c r="F15" s="5"/>
      <c r="G15" s="6"/>
    </row>
    <row r="16" spans="1:7" ht="13.5" thickBot="1">
      <c r="A16" s="7"/>
      <c r="B16" s="8"/>
      <c r="C16" s="8"/>
      <c r="D16" s="8"/>
      <c r="E16" s="8"/>
      <c r="F16" s="8"/>
      <c r="G16" s="9"/>
    </row>
    <row r="17"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41.xml><?xml version="1.0" encoding="utf-8"?>
<worksheet xmlns="http://schemas.openxmlformats.org/spreadsheetml/2006/main" xmlns:r="http://schemas.openxmlformats.org/officeDocument/2006/relationships">
  <sheetPr codeName="Sheet33">
    <pageSetUpPr fitToPage="1"/>
  </sheetPr>
  <dimension ref="A1:O79"/>
  <sheetViews>
    <sheetView workbookViewId="0" topLeftCell="A40">
      <selection activeCell="B36" sqref="B36"/>
    </sheetView>
  </sheetViews>
  <sheetFormatPr defaultColWidth="9.140625" defaultRowHeight="12.75"/>
  <cols>
    <col min="3" max="3" width="13.28125" style="0" customWidth="1"/>
    <col min="4" max="4" width="12.57421875" style="0" customWidth="1"/>
    <col min="5" max="5" width="13.0039062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448</v>
      </c>
      <c r="C3" s="5"/>
      <c r="D3" s="5"/>
      <c r="E3" s="5"/>
      <c r="F3" s="5"/>
      <c r="G3" s="6"/>
    </row>
    <row r="4" spans="1:7" ht="15.75">
      <c r="A4" s="4"/>
      <c r="B4" s="30"/>
      <c r="C4" s="5"/>
      <c r="D4" s="5"/>
      <c r="E4" s="5"/>
      <c r="F4" s="5"/>
      <c r="G4" s="6"/>
    </row>
    <row r="5" spans="1:7" ht="12.75" customHeight="1">
      <c r="A5" s="4"/>
      <c r="B5" s="15" t="s">
        <v>445</v>
      </c>
      <c r="C5" s="5"/>
      <c r="D5" s="5"/>
      <c r="E5" s="5"/>
      <c r="F5" s="5"/>
      <c r="G5" s="6"/>
    </row>
    <row r="6" spans="1:7" ht="12.75" customHeight="1">
      <c r="A6" s="4"/>
      <c r="B6" s="5"/>
      <c r="C6" s="5" t="s">
        <v>45</v>
      </c>
      <c r="D6" s="5"/>
      <c r="E6" s="86">
        <f>'Loss of Productivity'!G8</f>
        <v>0.02</v>
      </c>
      <c r="F6" s="5"/>
      <c r="G6" s="6"/>
    </row>
    <row r="7" spans="1:7" ht="12.75" customHeight="1">
      <c r="A7" s="4"/>
      <c r="B7" s="5"/>
      <c r="C7" s="5" t="s">
        <v>46</v>
      </c>
      <c r="D7" s="5"/>
      <c r="E7" s="86">
        <f>'Loss of Productivity'!G9</f>
        <v>0.005</v>
      </c>
      <c r="F7" s="5"/>
      <c r="G7" s="6"/>
    </row>
    <row r="8" spans="1:7" ht="12.75" customHeight="1">
      <c r="A8" s="4"/>
      <c r="B8" s="5"/>
      <c r="C8" s="5" t="s">
        <v>12</v>
      </c>
      <c r="D8" s="5"/>
      <c r="E8" s="86">
        <f>'Loss of Productivity'!G10</f>
        <v>0.0001</v>
      </c>
      <c r="F8" s="5"/>
      <c r="G8" s="6"/>
    </row>
    <row r="9" spans="1:7" ht="12.75" customHeight="1">
      <c r="A9" s="4"/>
      <c r="B9" s="5"/>
      <c r="C9" s="5"/>
      <c r="D9" s="5"/>
      <c r="E9" s="5"/>
      <c r="F9" s="5"/>
      <c r="G9" s="6"/>
    </row>
    <row r="10" spans="1:7" ht="12.75">
      <c r="A10" s="4"/>
      <c r="B10" s="15" t="s">
        <v>446</v>
      </c>
      <c r="C10" s="5"/>
      <c r="D10" s="5"/>
      <c r="E10" s="5"/>
      <c r="F10" s="5"/>
      <c r="G10" s="6"/>
    </row>
    <row r="11" spans="1:7" ht="12.75">
      <c r="A11" s="4"/>
      <c r="B11" s="5"/>
      <c r="C11" s="5" t="s">
        <v>142</v>
      </c>
      <c r="D11" s="5"/>
      <c r="E11" s="5"/>
      <c r="F11" s="31"/>
      <c r="G11" s="6"/>
    </row>
    <row r="12" spans="1:7" ht="12.75">
      <c r="A12" s="4"/>
      <c r="B12" s="5"/>
      <c r="C12" s="5"/>
      <c r="D12" s="5" t="s">
        <v>48</v>
      </c>
      <c r="E12" s="5"/>
      <c r="F12" s="31">
        <f>'Calculation Sheet'!D3*$E$8*('Front End'!$G$3*0.65)</f>
        <v>8645</v>
      </c>
      <c r="G12" s="6"/>
    </row>
    <row r="13" spans="1:7" ht="12.75">
      <c r="A13" s="4"/>
      <c r="B13" s="5"/>
      <c r="C13" s="5"/>
      <c r="D13" s="5" t="s">
        <v>270</v>
      </c>
      <c r="E13" s="5"/>
      <c r="F13" s="31">
        <f>'Calculation Sheet'!D4*$E$8*('Front End'!$G$3*0.25)</f>
        <v>6650</v>
      </c>
      <c r="G13" s="6"/>
    </row>
    <row r="14" spans="1:7" ht="13.5" thickBot="1">
      <c r="A14" s="4"/>
      <c r="B14" s="22"/>
      <c r="C14" s="22"/>
      <c r="D14" s="22" t="s">
        <v>49</v>
      </c>
      <c r="E14" s="22"/>
      <c r="F14" s="31">
        <f>'Calculation Sheet'!D5*$E$8*('Front End'!$G$3*0.1)</f>
        <v>4987.5</v>
      </c>
      <c r="G14" s="6"/>
    </row>
    <row r="15" spans="1:7" ht="13.5" thickTop="1">
      <c r="A15" s="4"/>
      <c r="B15" s="5" t="s">
        <v>269</v>
      </c>
      <c r="C15" s="5"/>
      <c r="D15" s="5"/>
      <c r="E15" s="5"/>
      <c r="F15" s="68">
        <f>SUM(F12:F14)</f>
        <v>20282.5</v>
      </c>
      <c r="G15" s="6"/>
    </row>
    <row r="16" spans="1:7" ht="12.75">
      <c r="A16" s="4"/>
      <c r="B16" s="5"/>
      <c r="C16" s="5"/>
      <c r="D16" s="5"/>
      <c r="E16" s="5"/>
      <c r="F16" s="31"/>
      <c r="G16" s="6"/>
    </row>
    <row r="17" spans="1:7" ht="12.75">
      <c r="A17" s="4"/>
      <c r="B17" s="15" t="s">
        <v>447</v>
      </c>
      <c r="C17" s="5"/>
      <c r="D17" s="5"/>
      <c r="E17" s="5"/>
      <c r="F17" s="5"/>
      <c r="G17" s="6"/>
    </row>
    <row r="18" spans="1:7" ht="12.75">
      <c r="A18" s="4"/>
      <c r="B18" s="5"/>
      <c r="C18" s="5" t="s">
        <v>142</v>
      </c>
      <c r="D18" s="5"/>
      <c r="E18" s="5"/>
      <c r="F18" s="31"/>
      <c r="G18" s="6"/>
    </row>
    <row r="19" spans="1:7" ht="12.75">
      <c r="A19" s="4"/>
      <c r="B19" s="5"/>
      <c r="C19" s="5"/>
      <c r="D19" s="5" t="s">
        <v>48</v>
      </c>
      <c r="E19" s="5"/>
      <c r="F19" s="31">
        <f>'Calculation Sheet'!D3*$E$7*('Front End'!$G$3*0.65)</f>
        <v>432250</v>
      </c>
      <c r="G19" s="6"/>
    </row>
    <row r="20" spans="1:7" ht="12.75">
      <c r="A20" s="4"/>
      <c r="B20" s="5"/>
      <c r="C20" s="5"/>
      <c r="D20" s="5" t="s">
        <v>270</v>
      </c>
      <c r="E20" s="5"/>
      <c r="F20" s="31">
        <f>'Calculation Sheet'!D4*$E$7*('Front End'!$G$3*0.25)</f>
        <v>332500</v>
      </c>
      <c r="G20" s="6"/>
    </row>
    <row r="21" spans="1:7" ht="13.5" thickBot="1">
      <c r="A21" s="4"/>
      <c r="B21" s="22"/>
      <c r="C21" s="22"/>
      <c r="D21" s="22" t="s">
        <v>49</v>
      </c>
      <c r="E21" s="22"/>
      <c r="F21" s="35">
        <f>'Calculation Sheet'!D5*$E$7*('Front End'!$G$3*0.1)</f>
        <v>249375</v>
      </c>
      <c r="G21" s="6"/>
    </row>
    <row r="22" spans="1:7" ht="13.5" thickTop="1">
      <c r="A22" s="4"/>
      <c r="B22" s="5"/>
      <c r="C22" s="5"/>
      <c r="D22" s="5"/>
      <c r="E22" s="5"/>
      <c r="F22" s="31">
        <f>SUM(F19:F21)</f>
        <v>1014125</v>
      </c>
      <c r="G22" s="6"/>
    </row>
    <row r="23" spans="1:7" ht="12.75">
      <c r="A23" s="4"/>
      <c r="B23" s="5"/>
      <c r="C23" s="5"/>
      <c r="D23" s="5"/>
      <c r="E23" s="5"/>
      <c r="F23" s="31"/>
      <c r="G23" s="6"/>
    </row>
    <row r="24" spans="1:7" ht="12.75">
      <c r="A24" s="4"/>
      <c r="B24" s="15"/>
      <c r="C24" s="5"/>
      <c r="D24" s="5"/>
      <c r="E24" s="5"/>
      <c r="F24" s="5"/>
      <c r="G24" s="6"/>
    </row>
    <row r="25" spans="1:7" ht="12.75">
      <c r="A25" s="4"/>
      <c r="B25" s="5"/>
      <c r="C25" s="5" t="s">
        <v>142</v>
      </c>
      <c r="D25" s="5"/>
      <c r="E25" s="5"/>
      <c r="F25" s="31"/>
      <c r="G25" s="6"/>
    </row>
    <row r="26" spans="1:7" ht="12.75">
      <c r="A26" s="4"/>
      <c r="B26" s="5"/>
      <c r="C26" s="5"/>
      <c r="D26" s="5" t="s">
        <v>48</v>
      </c>
      <c r="E26" s="5"/>
      <c r="F26" s="31">
        <f>'Calculation Sheet'!D3*$E$6*('Front End'!$G$3*0.65)</f>
        <v>1729000</v>
      </c>
      <c r="G26" s="6"/>
    </row>
    <row r="27" spans="1:7" ht="12.75">
      <c r="A27" s="4"/>
      <c r="B27" s="5"/>
      <c r="C27" s="5"/>
      <c r="D27" s="5" t="s">
        <v>270</v>
      </c>
      <c r="E27" s="5"/>
      <c r="F27" s="31">
        <f>'Calculation Sheet'!D4*$E$6*('Front End'!$G$3*0.25)</f>
        <v>1330000</v>
      </c>
      <c r="G27" s="6"/>
    </row>
    <row r="28" spans="1:7" ht="13.5" thickBot="1">
      <c r="A28" s="4"/>
      <c r="B28" s="22"/>
      <c r="C28" s="22"/>
      <c r="D28" s="22" t="s">
        <v>49</v>
      </c>
      <c r="E28" s="22"/>
      <c r="F28" s="35">
        <f>'Calculation Sheet'!D5*$E$6*('Front End'!$G$3*0.1)</f>
        <v>997500</v>
      </c>
      <c r="G28" s="6"/>
    </row>
    <row r="29" spans="1:7" ht="13.5" thickTop="1">
      <c r="A29" s="4"/>
      <c r="B29" s="5" t="s">
        <v>269</v>
      </c>
      <c r="C29" s="5"/>
      <c r="D29" s="5"/>
      <c r="E29" s="5"/>
      <c r="F29" s="31">
        <f>SUM(F26:F28)</f>
        <v>4056500</v>
      </c>
      <c r="G29" s="6"/>
    </row>
    <row r="30" spans="1:7" ht="13.5" thickBot="1">
      <c r="A30" s="4"/>
      <c r="B30" s="5"/>
      <c r="C30" s="5"/>
      <c r="D30" s="5"/>
      <c r="E30" s="5"/>
      <c r="F30" s="31"/>
      <c r="G30" s="6"/>
    </row>
    <row r="31" spans="1:7" ht="14.25" thickBot="1" thickTop="1">
      <c r="A31" s="4"/>
      <c r="B31" s="37" t="s">
        <v>143</v>
      </c>
      <c r="C31" s="38"/>
      <c r="D31" s="38"/>
      <c r="E31" s="38"/>
      <c r="F31" s="150">
        <v>5090907.5</v>
      </c>
      <c r="G31" s="6"/>
    </row>
    <row r="32" spans="1:7" ht="13.5" thickTop="1">
      <c r="A32" s="4"/>
      <c r="B32" s="5"/>
      <c r="C32" s="5"/>
      <c r="D32" s="5"/>
      <c r="E32" s="5"/>
      <c r="F32" s="5"/>
      <c r="G32" s="6"/>
    </row>
    <row r="33" spans="1:7" ht="13.5" thickBot="1">
      <c r="A33" s="7"/>
      <c r="B33" s="8"/>
      <c r="C33" s="8"/>
      <c r="D33" s="8"/>
      <c r="E33" s="8"/>
      <c r="F33" s="8"/>
      <c r="G33" s="9"/>
    </row>
    <row r="34"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99" r:id="rId1"/>
  <headerFooter alignWithMargins="0">
    <oddHeader>&amp;CTotal Cost of Application Ownership (TCA) Calculator</oddHeader>
    <oddFooter>&amp;LThe Tolly Group TCA Calculator&amp;R© The Tolly Group, 1999</oddFooter>
  </headerFooter>
</worksheet>
</file>

<file path=xl/worksheets/sheet42.xml><?xml version="1.0" encoding="utf-8"?>
<worksheet xmlns="http://schemas.openxmlformats.org/spreadsheetml/2006/main" xmlns:r="http://schemas.openxmlformats.org/officeDocument/2006/relationships">
  <sheetPr codeName="Sheet35">
    <pageSetUpPr fitToPage="1"/>
  </sheetPr>
  <dimension ref="A1:O69"/>
  <sheetViews>
    <sheetView workbookViewId="0" topLeftCell="A30">
      <selection activeCell="A27" sqref="A27"/>
    </sheetView>
  </sheetViews>
  <sheetFormatPr defaultColWidth="9.140625" defaultRowHeight="12.75"/>
  <cols>
    <col min="6" max="6" width="15.421875" style="10" customWidth="1"/>
  </cols>
  <sheetData>
    <row r="1" spans="1:7" ht="16.5" thickTop="1">
      <c r="A1" s="29" t="s">
        <v>449</v>
      </c>
      <c r="B1" s="3"/>
      <c r="C1" s="3"/>
      <c r="D1" s="3"/>
      <c r="E1" s="3"/>
      <c r="F1" s="69"/>
      <c r="G1" s="13"/>
    </row>
    <row r="2" spans="1:7" ht="12.75">
      <c r="A2" s="4"/>
      <c r="B2" s="5"/>
      <c r="C2" s="5"/>
      <c r="D2" s="5"/>
      <c r="E2" s="5"/>
      <c r="F2" s="31"/>
      <c r="G2" s="6"/>
    </row>
    <row r="3" spans="1:7" ht="12.75">
      <c r="A3" s="4"/>
      <c r="B3" s="5" t="s">
        <v>148</v>
      </c>
      <c r="C3" s="5"/>
      <c r="D3" s="44"/>
      <c r="E3" s="44"/>
      <c r="F3" s="70"/>
      <c r="G3" s="6"/>
    </row>
    <row r="4" spans="1:7" ht="12.75">
      <c r="A4" s="4"/>
      <c r="B4" s="5"/>
      <c r="C4" s="5" t="s">
        <v>43</v>
      </c>
      <c r="D4" s="5"/>
      <c r="E4" s="5"/>
      <c r="F4" s="31">
        <f>'Thin Application Development'!F32</f>
        <v>31982.21153846154</v>
      </c>
      <c r="G4" s="6"/>
    </row>
    <row r="5" spans="1:7" ht="12.75">
      <c r="A5" s="4"/>
      <c r="B5" s="5"/>
      <c r="C5" s="5" t="s">
        <v>61</v>
      </c>
      <c r="D5" s="5"/>
      <c r="E5" s="5"/>
      <c r="F5" s="31">
        <f>'ThinClient Software Acquisition'!H29</f>
        <v>1077500</v>
      </c>
      <c r="G5" s="6"/>
    </row>
    <row r="6" spans="1:7" ht="12.75">
      <c r="A6" s="4"/>
      <c r="B6" s="5"/>
      <c r="C6" s="5" t="s">
        <v>74</v>
      </c>
      <c r="D6" s="5"/>
      <c r="E6" s="5"/>
      <c r="F6" s="31">
        <f>'ThinServer Software Acquisition'!H33</f>
        <v>386166</v>
      </c>
      <c r="G6" s="6"/>
    </row>
    <row r="7" spans="1:7" ht="12.75">
      <c r="A7" s="4"/>
      <c r="B7" s="5"/>
      <c r="C7" s="5" t="s">
        <v>149</v>
      </c>
      <c r="D7" s="5"/>
      <c r="E7" s="5"/>
      <c r="F7" s="31">
        <f>'Thin Application Integration'!G17</f>
        <v>9109.951923076924</v>
      </c>
      <c r="G7" s="6"/>
    </row>
    <row r="8" spans="1:7" ht="12.75">
      <c r="A8" s="4"/>
      <c r="B8" s="5"/>
      <c r="C8" s="5" t="s">
        <v>98</v>
      </c>
      <c r="D8" s="5"/>
      <c r="E8" s="5"/>
      <c r="F8" s="31">
        <f>'Thin Application Installation'!G17*'Front End'!G3</f>
        <v>68450</v>
      </c>
      <c r="G8" s="6"/>
    </row>
    <row r="9" spans="1:7" ht="12.75">
      <c r="A9" s="4"/>
      <c r="B9" s="5"/>
      <c r="C9" s="5" t="s">
        <v>99</v>
      </c>
      <c r="D9" s="5"/>
      <c r="E9" s="5"/>
      <c r="F9" s="31">
        <f>'Thin Application Training'!G40</f>
        <v>4013547.692307692</v>
      </c>
      <c r="G9" s="6"/>
    </row>
    <row r="10" spans="1:7" ht="12.75">
      <c r="A10" s="4"/>
      <c r="B10" s="5"/>
      <c r="C10" s="5" t="s">
        <v>100</v>
      </c>
      <c r="D10" s="5"/>
      <c r="E10" s="5"/>
      <c r="F10" s="31">
        <f>'Thin Hardware Procurement'!H81</f>
        <v>1766300</v>
      </c>
      <c r="G10" s="6"/>
    </row>
    <row r="11" spans="1:7" ht="13.5" thickBot="1">
      <c r="A11" s="4"/>
      <c r="B11" s="22"/>
      <c r="C11" s="22" t="s">
        <v>228</v>
      </c>
      <c r="D11" s="22"/>
      <c r="E11" s="22"/>
      <c r="F11" s="35">
        <f>'Thin WAN Infrastructure'!G44</f>
        <v>5978900</v>
      </c>
      <c r="G11" s="6"/>
    </row>
    <row r="12" spans="1:7" ht="13.5" thickTop="1">
      <c r="A12" s="4"/>
      <c r="B12" s="5" t="s">
        <v>150</v>
      </c>
      <c r="C12" s="5"/>
      <c r="D12" s="5"/>
      <c r="E12" s="5"/>
      <c r="F12" s="31">
        <f>SUM(F4:F11)</f>
        <v>13331955.85576923</v>
      </c>
      <c r="G12" s="6"/>
    </row>
    <row r="13" spans="1:7" ht="12.75">
      <c r="A13" s="4"/>
      <c r="B13" s="5"/>
      <c r="C13" s="5"/>
      <c r="D13" s="5"/>
      <c r="E13" s="5"/>
      <c r="F13" s="31"/>
      <c r="G13" s="6"/>
    </row>
    <row r="14" spans="1:7" ht="12.75">
      <c r="A14" s="4"/>
      <c r="B14" s="5" t="s">
        <v>151</v>
      </c>
      <c r="C14" s="5"/>
      <c r="D14" s="44"/>
      <c r="E14" s="44"/>
      <c r="F14" s="70"/>
      <c r="G14" s="6"/>
    </row>
    <row r="15" spans="1:7" ht="12.75">
      <c r="A15" s="4"/>
      <c r="B15" s="5"/>
      <c r="C15" s="5" t="s">
        <v>127</v>
      </c>
      <c r="D15" s="5"/>
      <c r="E15" s="5"/>
      <c r="F15" s="31">
        <f>'Thin Application Maintenance'!G20*'Front End'!G3</f>
        <v>3869175</v>
      </c>
      <c r="G15" s="6"/>
    </row>
    <row r="16" spans="1:7" ht="12.75">
      <c r="A16" s="4"/>
      <c r="B16" s="5"/>
      <c r="C16" s="5" t="s">
        <v>132</v>
      </c>
      <c r="D16" s="5"/>
      <c r="E16" s="5"/>
      <c r="F16" s="31">
        <f>'Thin Server Operations'!F14</f>
        <v>64580.19230769231</v>
      </c>
      <c r="G16" s="6"/>
    </row>
    <row r="17" spans="1:7" ht="12.75">
      <c r="A17" s="4"/>
      <c r="B17" s="5"/>
      <c r="C17" s="5" t="s">
        <v>44</v>
      </c>
      <c r="D17" s="5"/>
      <c r="E17" s="5"/>
      <c r="F17" s="31">
        <f>'Calculation Sheet'!B72</f>
        <v>1835726.2974683545</v>
      </c>
      <c r="G17" s="6"/>
    </row>
    <row r="18" spans="1:7" ht="12.75">
      <c r="A18" s="4"/>
      <c r="B18" s="5"/>
      <c r="C18" s="5" t="s">
        <v>141</v>
      </c>
      <c r="D18" s="5"/>
      <c r="E18" s="5"/>
      <c r="F18" s="31">
        <f>'Thin Loss of Productivity'!F31</f>
        <v>5090907.5</v>
      </c>
      <c r="G18" s="6"/>
    </row>
    <row r="19" spans="1:7" ht="13.5" thickBot="1">
      <c r="A19" s="4"/>
      <c r="B19" s="22"/>
      <c r="C19" s="22" t="s">
        <v>152</v>
      </c>
      <c r="D19" s="22"/>
      <c r="E19" s="22"/>
      <c r="F19" s="35">
        <f>'Building Infrastructure'!F19</f>
        <v>291400</v>
      </c>
      <c r="G19" s="6"/>
    </row>
    <row r="20" spans="1:7" ht="13.5" thickTop="1">
      <c r="A20" s="4"/>
      <c r="B20" s="5" t="s">
        <v>153</v>
      </c>
      <c r="C20" s="5"/>
      <c r="D20" s="5"/>
      <c r="E20" s="5"/>
      <c r="F20" s="31">
        <f>SUM(F15:F19)</f>
        <v>11151788.989776047</v>
      </c>
      <c r="G20" s="6"/>
    </row>
    <row r="21" spans="1:7" ht="13.5" thickBot="1">
      <c r="A21" s="4"/>
      <c r="B21" s="5"/>
      <c r="C21" s="5"/>
      <c r="D21" s="5"/>
      <c r="E21" s="5"/>
      <c r="F21" s="31"/>
      <c r="G21" s="6"/>
    </row>
    <row r="22" spans="1:7" ht="14.25" thickBot="1" thickTop="1">
      <c r="A22" s="4"/>
      <c r="B22" s="37"/>
      <c r="C22" s="38"/>
      <c r="D22" s="38"/>
      <c r="E22" s="38"/>
      <c r="F22" s="150">
        <f>SUM(F20,F12)</f>
        <v>24483744.845545277</v>
      </c>
      <c r="G22" s="6"/>
    </row>
    <row r="23" spans="1:7" ht="13.5" thickTop="1">
      <c r="A23" s="4"/>
      <c r="B23" s="5"/>
      <c r="C23" s="5"/>
      <c r="D23" s="5"/>
      <c r="E23" s="5"/>
      <c r="F23" s="31"/>
      <c r="G23" s="6"/>
    </row>
    <row r="24" spans="1:7" ht="13.5" thickBot="1">
      <c r="A24" s="7"/>
      <c r="B24" s="8"/>
      <c r="C24" s="8"/>
      <c r="D24" s="8"/>
      <c r="E24" s="8"/>
      <c r="F24" s="50"/>
      <c r="G24" s="9"/>
    </row>
    <row r="25"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43.xml><?xml version="1.0" encoding="utf-8"?>
<worksheet xmlns="http://schemas.openxmlformats.org/spreadsheetml/2006/main" xmlns:r="http://schemas.openxmlformats.org/officeDocument/2006/relationships">
  <sheetPr codeName="Sheet210">
    <pageSetUpPr fitToPage="1"/>
  </sheetPr>
  <dimension ref="A1:O109"/>
  <sheetViews>
    <sheetView workbookViewId="0" topLeftCell="A70">
      <selection activeCell="B62" sqref="B62"/>
    </sheetView>
  </sheetViews>
  <sheetFormatPr defaultColWidth="9.140625" defaultRowHeight="12.75"/>
  <cols>
    <col min="5" max="5" width="22.57421875" style="0" customWidth="1"/>
    <col min="6" max="6" width="18.28125" style="0" customWidth="1"/>
    <col min="7" max="7" width="19.00390625" style="0" customWidth="1"/>
  </cols>
  <sheetData>
    <row r="1" ht="15.75">
      <c r="A1" s="1" t="s">
        <v>452</v>
      </c>
    </row>
    <row r="2" ht="13.5" thickBot="1"/>
    <row r="3" spans="2:7" ht="13.5" thickTop="1">
      <c r="B3" s="2"/>
      <c r="C3" s="3"/>
      <c r="D3" s="3"/>
      <c r="E3" s="3"/>
      <c r="F3" s="3"/>
      <c r="G3" s="13"/>
    </row>
    <row r="4" spans="2:7" ht="15.75">
      <c r="B4" s="14" t="s">
        <v>453</v>
      </c>
      <c r="C4" s="5"/>
      <c r="D4" s="5"/>
      <c r="E4" s="5"/>
      <c r="F4" s="5"/>
      <c r="G4" s="6"/>
    </row>
    <row r="5" spans="2:7" ht="12.75">
      <c r="B5" s="4"/>
      <c r="C5" s="5"/>
      <c r="D5" s="5"/>
      <c r="E5" s="5"/>
      <c r="F5" s="5"/>
      <c r="G5" s="6"/>
    </row>
    <row r="6" spans="2:7" ht="12.75">
      <c r="B6" s="4"/>
      <c r="C6" s="16" t="s">
        <v>193</v>
      </c>
      <c r="D6" s="5"/>
      <c r="E6" s="5"/>
      <c r="F6" s="5">
        <f>'Calculation Sheet'!B29</f>
        <v>35</v>
      </c>
      <c r="G6" s="6"/>
    </row>
    <row r="7" spans="2:7" ht="12.75">
      <c r="B7" s="4"/>
      <c r="C7" s="15"/>
      <c r="D7" s="5"/>
      <c r="E7" s="5"/>
      <c r="F7" s="5"/>
      <c r="G7" s="6"/>
    </row>
    <row r="8" spans="2:7" ht="12.75">
      <c r="B8" s="4"/>
      <c r="C8" s="5"/>
      <c r="D8" s="5"/>
      <c r="E8" s="5"/>
      <c r="F8" s="5" t="s">
        <v>179</v>
      </c>
      <c r="G8" s="6" t="s">
        <v>26</v>
      </c>
    </row>
    <row r="9" spans="2:7" ht="12.75">
      <c r="B9" s="4"/>
      <c r="C9" s="5"/>
      <c r="D9" s="5"/>
      <c r="E9" s="5"/>
      <c r="F9" s="5"/>
      <c r="G9" s="6"/>
    </row>
    <row r="10" spans="2:7" ht="12.75">
      <c r="B10" s="4"/>
      <c r="C10" s="5"/>
      <c r="D10" s="16" t="s">
        <v>27</v>
      </c>
      <c r="E10" s="17"/>
      <c r="F10" s="20">
        <f>'FatClient Base Data'!F10</f>
        <v>55000</v>
      </c>
      <c r="G10" s="18">
        <f>(F10*F22+F10)/52/F6</f>
        <v>40.19230769230769</v>
      </c>
    </row>
    <row r="11" spans="2:7" ht="12.75">
      <c r="B11" s="4"/>
      <c r="C11" s="5"/>
      <c r="D11" s="16" t="s">
        <v>28</v>
      </c>
      <c r="E11" s="17"/>
      <c r="F11" s="20">
        <f>'FatClient Base Data'!F11</f>
        <v>45000</v>
      </c>
      <c r="G11" s="18">
        <f>(F11*F22+F11)/52/F6</f>
        <v>32.88461538461539</v>
      </c>
    </row>
    <row r="12" spans="2:7" ht="12.75">
      <c r="B12" s="4"/>
      <c r="C12" s="5"/>
      <c r="D12" s="16" t="s">
        <v>29</v>
      </c>
      <c r="E12" s="17"/>
      <c r="F12" s="20">
        <f>'FatClient Base Data'!F12</f>
        <v>65000</v>
      </c>
      <c r="G12" s="18">
        <f>(F12*F22+F12)/52/F6</f>
        <v>47.5</v>
      </c>
    </row>
    <row r="13" spans="2:7" ht="12.75">
      <c r="B13" s="4"/>
      <c r="C13" s="5"/>
      <c r="D13" s="19" t="s">
        <v>30</v>
      </c>
      <c r="E13" s="17"/>
      <c r="F13" s="20">
        <f>'FatClient Base Data'!F13</f>
        <v>80000</v>
      </c>
      <c r="G13" s="18">
        <f>(F13*F22+F13)/52/F6</f>
        <v>58.46153846153846</v>
      </c>
    </row>
    <row r="14" spans="2:7" ht="12.75">
      <c r="B14" s="4"/>
      <c r="C14" s="5"/>
      <c r="D14" s="16" t="s">
        <v>31</v>
      </c>
      <c r="E14" s="17"/>
      <c r="F14" s="20">
        <f>'FatClient Base Data'!F14</f>
        <v>65000</v>
      </c>
      <c r="G14" s="18">
        <f>(F14*F22+F14)/52/F6</f>
        <v>47.5</v>
      </c>
    </row>
    <row r="15" spans="2:7" ht="12.75">
      <c r="B15" s="4"/>
      <c r="C15" s="5"/>
      <c r="D15" s="16" t="s">
        <v>32</v>
      </c>
      <c r="E15" s="17"/>
      <c r="F15" s="20">
        <f>'FatClient Base Data'!F15</f>
        <v>80000</v>
      </c>
      <c r="G15" s="18">
        <f>(F15*F22+F15)/52/F6</f>
        <v>58.46153846153846</v>
      </c>
    </row>
    <row r="16" spans="2:7" ht="12.75">
      <c r="B16" s="4"/>
      <c r="C16" s="5"/>
      <c r="D16" s="16" t="s">
        <v>33</v>
      </c>
      <c r="E16" s="17"/>
      <c r="F16" s="20">
        <f>'FatClient Base Data'!F16</f>
        <v>68500</v>
      </c>
      <c r="G16" s="18">
        <f>(F16*F22+F16)/52/F6</f>
        <v>50.05769230769231</v>
      </c>
    </row>
    <row r="17" spans="2:7" ht="12.75">
      <c r="B17" s="4"/>
      <c r="C17" s="5"/>
      <c r="D17" s="16" t="s">
        <v>289</v>
      </c>
      <c r="E17" s="17"/>
      <c r="F17" s="20">
        <f>'FatClient Base Data'!F17</f>
        <v>52000</v>
      </c>
      <c r="G17" s="18">
        <f>(F17*F22+F17)/52/F6</f>
        <v>38</v>
      </c>
    </row>
    <row r="18" spans="2:7" ht="12.75">
      <c r="B18" s="4"/>
      <c r="C18" s="5"/>
      <c r="D18" s="16" t="s">
        <v>290</v>
      </c>
      <c r="E18" s="17"/>
      <c r="F18" s="20">
        <f>'FatClient Base Data'!F18</f>
        <v>75000</v>
      </c>
      <c r="G18" s="18">
        <f>(F18*F22+F18)/52/F6</f>
        <v>54.80769230769231</v>
      </c>
    </row>
    <row r="19" spans="2:7" ht="12.75">
      <c r="B19" s="4"/>
      <c r="C19" s="5"/>
      <c r="D19" s="16" t="s">
        <v>291</v>
      </c>
      <c r="E19" s="17"/>
      <c r="F19" s="20">
        <f>'FatClient Base Data'!F19</f>
        <v>80000</v>
      </c>
      <c r="G19" s="18">
        <f>(F19*F22+F19)/52/F6</f>
        <v>58.46153846153846</v>
      </c>
    </row>
    <row r="20" spans="2:7" ht="12.75">
      <c r="B20" s="4"/>
      <c r="C20" s="5"/>
      <c r="D20" s="16" t="s">
        <v>34</v>
      </c>
      <c r="E20" s="17"/>
      <c r="F20" s="20">
        <f>'FatClient Base Data'!F20</f>
        <v>43500</v>
      </c>
      <c r="G20" s="18">
        <f>(F20*F22+F20)/52/F6</f>
        <v>31.788461538461537</v>
      </c>
    </row>
    <row r="21" spans="2:7" ht="12.75">
      <c r="B21" s="4"/>
      <c r="C21" s="5"/>
      <c r="D21" s="5"/>
      <c r="E21" s="5"/>
      <c r="F21" s="5"/>
      <c r="G21" s="6"/>
    </row>
    <row r="22" spans="2:7" ht="12.75">
      <c r="B22" s="4"/>
      <c r="C22" s="5"/>
      <c r="D22" s="16" t="s">
        <v>35</v>
      </c>
      <c r="E22" s="5"/>
      <c r="F22" s="49">
        <v>0.33</v>
      </c>
      <c r="G22" s="6"/>
    </row>
    <row r="23" spans="2:7" ht="12.75">
      <c r="B23" s="4"/>
      <c r="C23" s="5"/>
      <c r="D23" s="16"/>
      <c r="E23" s="5"/>
      <c r="F23" s="31"/>
      <c r="G23" s="71"/>
    </row>
    <row r="24" spans="2:7" ht="12.75">
      <c r="B24" s="4"/>
      <c r="C24" s="5"/>
      <c r="D24" s="15" t="s">
        <v>47</v>
      </c>
      <c r="E24" s="5"/>
      <c r="F24" s="5"/>
      <c r="G24" s="71"/>
    </row>
    <row r="25" spans="2:7" ht="12.75">
      <c r="B25" s="4"/>
      <c r="C25" s="5"/>
      <c r="D25" s="5" t="s">
        <v>48</v>
      </c>
      <c r="E25" s="78"/>
      <c r="F25" s="20">
        <f>'FatClient Base Data'!F25</f>
        <v>40000</v>
      </c>
      <c r="G25" s="18">
        <f>SUM(F25*F22+F25)/52/F6</f>
        <v>29.23076923076923</v>
      </c>
    </row>
    <row r="26" spans="2:7" ht="12.75">
      <c r="B26" s="4"/>
      <c r="C26" s="5"/>
      <c r="D26" s="5" t="s">
        <v>270</v>
      </c>
      <c r="E26" s="78"/>
      <c r="F26" s="20">
        <f>'FatClient Base Data'!F26</f>
        <v>80000</v>
      </c>
      <c r="G26" s="18">
        <f>SUM(F26*F22+F26)/52/F6</f>
        <v>58.46153846153846</v>
      </c>
    </row>
    <row r="27" spans="2:7" ht="12.75">
      <c r="B27" s="4"/>
      <c r="C27" s="5"/>
      <c r="D27" s="5" t="s">
        <v>49</v>
      </c>
      <c r="E27" s="78"/>
      <c r="F27" s="20">
        <f>'FatClient Base Data'!F27</f>
        <v>150000</v>
      </c>
      <c r="G27" s="18">
        <f>SUM(F27*F22+F27)/52/F6</f>
        <v>109.61538461538461</v>
      </c>
    </row>
    <row r="28" spans="2:7" ht="12.75">
      <c r="B28" s="4"/>
      <c r="C28" s="5"/>
      <c r="D28" s="5"/>
      <c r="E28" s="78"/>
      <c r="F28" s="33"/>
      <c r="G28" s="71"/>
    </row>
    <row r="29" spans="2:7" ht="12.75">
      <c r="B29" s="4"/>
      <c r="C29" s="5"/>
      <c r="D29" s="5"/>
      <c r="E29" s="78"/>
      <c r="F29" s="33" t="s">
        <v>36</v>
      </c>
      <c r="G29" s="71" t="s">
        <v>183</v>
      </c>
    </row>
    <row r="30" spans="2:7" ht="12.75">
      <c r="B30" s="4"/>
      <c r="C30" s="5"/>
      <c r="D30" s="15" t="s">
        <v>38</v>
      </c>
      <c r="E30" s="5"/>
      <c r="F30" s="20">
        <f>AVERAGE(F25:F27)</f>
        <v>90000</v>
      </c>
      <c r="G30" s="18">
        <f>AVERAGE(G25:G27)</f>
        <v>65.76923076923077</v>
      </c>
    </row>
    <row r="31" spans="2:7" ht="13.5" thickBot="1">
      <c r="B31" s="7"/>
      <c r="C31" s="8"/>
      <c r="D31" s="8"/>
      <c r="E31" s="8"/>
      <c r="F31" s="8"/>
      <c r="G31" s="9"/>
    </row>
    <row r="32" ht="14.25" thickBot="1" thickTop="1"/>
    <row r="33" spans="2:7" ht="13.5" thickTop="1">
      <c r="B33" s="2"/>
      <c r="C33" s="3"/>
      <c r="D33" s="3"/>
      <c r="E33" s="3"/>
      <c r="F33" s="3"/>
      <c r="G33" s="13"/>
    </row>
    <row r="34" spans="2:7" ht="15.75">
      <c r="B34" s="14" t="s">
        <v>454</v>
      </c>
      <c r="C34" s="5"/>
      <c r="D34" s="5"/>
      <c r="E34" s="5"/>
      <c r="F34" s="5"/>
      <c r="G34" s="6"/>
    </row>
    <row r="35" spans="2:7" ht="12.75">
      <c r="B35" s="4"/>
      <c r="C35" s="5"/>
      <c r="D35" s="5"/>
      <c r="E35" s="5"/>
      <c r="F35" s="5"/>
      <c r="G35" s="6"/>
    </row>
    <row r="36" spans="2:7" ht="12.75">
      <c r="B36" s="4"/>
      <c r="C36" s="15" t="s">
        <v>262</v>
      </c>
      <c r="D36" s="5"/>
      <c r="E36" s="5"/>
      <c r="F36" s="5"/>
      <c r="G36" s="87">
        <f>'Client Base Data'!I17</f>
        <v>1</v>
      </c>
    </row>
    <row r="37" spans="2:7" ht="12.75">
      <c r="B37" s="4"/>
      <c r="C37" s="15" t="s">
        <v>39</v>
      </c>
      <c r="D37" s="5"/>
      <c r="E37" s="5"/>
      <c r="F37" s="5"/>
      <c r="G37" s="87">
        <f>'Client Base Data'!I18</f>
        <v>15</v>
      </c>
    </row>
    <row r="38" spans="2:7" ht="13.5" thickBot="1">
      <c r="B38" s="4"/>
      <c r="C38" s="21" t="s">
        <v>189</v>
      </c>
      <c r="D38" s="22"/>
      <c r="E38" s="22"/>
      <c r="F38" s="22"/>
      <c r="G38" s="24">
        <f>AVERAGE(F11,F12,F13,F20,F17)*(F22)+AVERAGE(F11,F12,F13,F20,F17)</f>
        <v>75943</v>
      </c>
    </row>
    <row r="39" spans="2:7" ht="13.5" thickTop="1">
      <c r="B39" s="4"/>
      <c r="C39" s="5" t="s">
        <v>40</v>
      </c>
      <c r="D39" s="5"/>
      <c r="E39" s="5"/>
      <c r="F39" s="5"/>
      <c r="G39" s="23">
        <f>(G38)/52/40/60*(G37)*(G36)*12</f>
        <v>109.53317307692306</v>
      </c>
    </row>
    <row r="40" spans="2:7" ht="13.5" thickBot="1">
      <c r="B40" s="7"/>
      <c r="C40" s="8"/>
      <c r="D40" s="8"/>
      <c r="E40" s="8"/>
      <c r="F40" s="8"/>
      <c r="G40" s="9"/>
    </row>
    <row r="41" ht="14.25" thickBot="1" thickTop="1"/>
    <row r="42" spans="2:7" ht="13.5" thickTop="1">
      <c r="B42" s="2"/>
      <c r="C42" s="3"/>
      <c r="D42" s="3"/>
      <c r="E42" s="3"/>
      <c r="F42" s="3"/>
      <c r="G42" s="13"/>
    </row>
    <row r="43" spans="2:7" ht="15.75">
      <c r="B43" s="14" t="s">
        <v>450</v>
      </c>
      <c r="C43" s="5"/>
      <c r="D43" s="5"/>
      <c r="E43" s="5"/>
      <c r="F43" s="5"/>
      <c r="G43" s="6"/>
    </row>
    <row r="44" spans="2:7" ht="12.75">
      <c r="B44" s="4"/>
      <c r="C44" s="5"/>
      <c r="D44" s="5"/>
      <c r="E44" s="5"/>
      <c r="F44" s="5"/>
      <c r="G44" s="6"/>
    </row>
    <row r="45" spans="2:7" ht="12.75">
      <c r="B45" s="4"/>
      <c r="C45" s="15" t="s">
        <v>190</v>
      </c>
      <c r="D45" s="5"/>
      <c r="E45" s="5"/>
      <c r="F45" s="5"/>
      <c r="G45" s="18">
        <f>AVERAGE(F10,F12,F15,F16,F13,F14)*(F22)+AVERAGE(F10,F12,F15,F16,F13,F14)</f>
        <v>91659.16666666667</v>
      </c>
    </row>
    <row r="46" spans="2:7" ht="12.75">
      <c r="B46" s="4"/>
      <c r="C46" s="15" t="s">
        <v>3</v>
      </c>
      <c r="D46" s="5"/>
      <c r="E46" s="5"/>
      <c r="F46" s="5"/>
      <c r="G46" s="25">
        <f>'Front End'!G15</f>
        <v>5</v>
      </c>
    </row>
    <row r="47" spans="2:8" ht="13.5" thickBot="1">
      <c r="B47" s="4"/>
      <c r="C47" s="21" t="s">
        <v>271</v>
      </c>
      <c r="D47" s="22"/>
      <c r="E47" s="22"/>
      <c r="F47" s="22"/>
      <c r="G47" s="26">
        <f>'Front End'!G3</f>
        <v>2500</v>
      </c>
      <c r="H47" s="27"/>
    </row>
    <row r="48" spans="2:7" ht="13.5" thickTop="1">
      <c r="B48" s="4"/>
      <c r="C48" s="5" t="s">
        <v>196</v>
      </c>
      <c r="D48" s="5"/>
      <c r="E48" s="5"/>
      <c r="F48" s="5"/>
      <c r="G48" s="28">
        <f>(G45*G46)/(G47)*110%+150</f>
        <v>351.6501666666667</v>
      </c>
    </row>
    <row r="49" spans="2:7" ht="13.5" thickBot="1">
      <c r="B49" s="7"/>
      <c r="C49" s="8"/>
      <c r="D49" s="8"/>
      <c r="E49" s="8"/>
      <c r="F49" s="8"/>
      <c r="G49" s="9"/>
    </row>
    <row r="50" ht="14.25" thickBot="1" thickTop="1"/>
    <row r="51" spans="2:7" ht="13.5" thickTop="1">
      <c r="B51" s="2"/>
      <c r="C51" s="3"/>
      <c r="D51" s="3"/>
      <c r="E51" s="3"/>
      <c r="F51" s="3"/>
      <c r="G51" s="13"/>
    </row>
    <row r="52" spans="2:7" ht="15.75">
      <c r="B52" s="14" t="s">
        <v>451</v>
      </c>
      <c r="C52" s="5"/>
      <c r="D52" s="5"/>
      <c r="E52" s="5"/>
      <c r="F52" s="5"/>
      <c r="G52" s="6"/>
    </row>
    <row r="53" spans="2:7" ht="12.75">
      <c r="B53" s="4"/>
      <c r="C53" s="5"/>
      <c r="D53" s="5"/>
      <c r="E53" s="5"/>
      <c r="F53" s="5"/>
      <c r="G53" s="6"/>
    </row>
    <row r="54" spans="2:7" ht="12.75">
      <c r="B54" s="4"/>
      <c r="C54" s="15" t="s">
        <v>42</v>
      </c>
      <c r="D54" s="5"/>
      <c r="E54" s="5"/>
      <c r="F54" s="5"/>
      <c r="G54" s="18">
        <f>AVERAGE(F10,F12,F13,F14)*(F22)+AVERAGE(F10,F12,F13,F14)</f>
        <v>88112.5</v>
      </c>
    </row>
    <row r="55" spans="2:7" ht="12.75">
      <c r="B55" s="4"/>
      <c r="C55" s="15" t="s">
        <v>2</v>
      </c>
      <c r="D55" s="5"/>
      <c r="E55" s="5"/>
      <c r="F55" s="5"/>
      <c r="G55" s="25">
        <f>'Front End'!G13</f>
        <v>5</v>
      </c>
    </row>
    <row r="56" spans="2:8" ht="13.5" thickBot="1">
      <c r="B56" s="4"/>
      <c r="C56" s="21" t="s">
        <v>272</v>
      </c>
      <c r="D56" s="22"/>
      <c r="E56" s="22"/>
      <c r="F56" s="22"/>
      <c r="G56" s="26">
        <f>'Front End'!G3</f>
        <v>2500</v>
      </c>
      <c r="H56" s="27"/>
    </row>
    <row r="57" spans="2:7" ht="13.5" thickTop="1">
      <c r="B57" s="4"/>
      <c r="C57" s="5" t="s">
        <v>191</v>
      </c>
      <c r="D57" s="5"/>
      <c r="E57" s="5"/>
      <c r="F57" s="5"/>
      <c r="G57" s="28">
        <f>(G54*G55)/(G56)+'Calculation Sheet'!C19</f>
        <v>315.825</v>
      </c>
    </row>
    <row r="58" spans="2:7" ht="13.5" thickBot="1">
      <c r="B58" s="7"/>
      <c r="C58" s="8"/>
      <c r="D58" s="8"/>
      <c r="E58" s="8"/>
      <c r="F58" s="8"/>
      <c r="G58" s="9"/>
    </row>
    <row r="59" ht="13.5" thickTop="1"/>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60">
      <c r="A73" s="134" t="s">
        <v>249</v>
      </c>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60">
      <c r="A81" s="134"/>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60">
      <c r="A92" s="133"/>
      <c r="B92" s="133"/>
      <c r="C92" s="133"/>
      <c r="D92" s="134"/>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12.75">
      <c r="A101" s="133"/>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12.75">
      <c r="A103" s="133"/>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row r="105" spans="1:15" ht="12.75">
      <c r="A105" s="133"/>
      <c r="B105" s="133"/>
      <c r="C105" s="133"/>
      <c r="D105" s="133"/>
      <c r="E105" s="133"/>
      <c r="F105" s="133"/>
      <c r="G105" s="133"/>
      <c r="H105" s="133"/>
      <c r="I105" s="133"/>
      <c r="J105" s="133"/>
      <c r="K105" s="133"/>
      <c r="L105" s="133"/>
      <c r="M105" s="133"/>
      <c r="N105" s="133"/>
      <c r="O105" s="133"/>
    </row>
    <row r="106" spans="1:15" ht="12.75">
      <c r="A106" s="133"/>
      <c r="B106" s="133"/>
      <c r="C106" s="133"/>
      <c r="D106" s="133"/>
      <c r="E106" s="133"/>
      <c r="F106" s="133"/>
      <c r="G106" s="133"/>
      <c r="H106" s="133"/>
      <c r="I106" s="133"/>
      <c r="J106" s="133"/>
      <c r="K106" s="133"/>
      <c r="L106" s="133"/>
      <c r="M106" s="133"/>
      <c r="N106" s="133"/>
      <c r="O106" s="133"/>
    </row>
    <row r="107" spans="1:15" ht="12.75">
      <c r="A107" s="133"/>
      <c r="B107" s="133"/>
      <c r="C107" s="133"/>
      <c r="D107" s="133"/>
      <c r="E107" s="133"/>
      <c r="F107" s="133"/>
      <c r="G107" s="133"/>
      <c r="H107" s="133"/>
      <c r="I107" s="133"/>
      <c r="J107" s="133"/>
      <c r="K107" s="133"/>
      <c r="L107" s="133"/>
      <c r="M107" s="133"/>
      <c r="N107" s="133"/>
      <c r="O107" s="133"/>
    </row>
    <row r="108" spans="1:15" ht="12.75">
      <c r="A108" s="133"/>
      <c r="B108" s="133"/>
      <c r="C108" s="133"/>
      <c r="D108" s="133"/>
      <c r="E108" s="133"/>
      <c r="F108" s="133"/>
      <c r="G108" s="133"/>
      <c r="H108" s="133"/>
      <c r="I108" s="133"/>
      <c r="J108" s="133"/>
      <c r="K108" s="133"/>
      <c r="L108" s="133"/>
      <c r="M108" s="133"/>
      <c r="N108" s="133"/>
      <c r="O108" s="133"/>
    </row>
    <row r="109" spans="1:15" ht="12.75">
      <c r="A109" s="133"/>
      <c r="B109" s="133"/>
      <c r="C109" s="133"/>
      <c r="D109" s="133"/>
      <c r="E109" s="133"/>
      <c r="F109" s="133"/>
      <c r="G109" s="133"/>
      <c r="H109" s="133"/>
      <c r="I109" s="133"/>
      <c r="J109" s="133"/>
      <c r="K109" s="133"/>
      <c r="L109" s="133"/>
      <c r="M109" s="133"/>
      <c r="N109" s="133"/>
      <c r="O109" s="133"/>
    </row>
  </sheetData>
  <sheetProtection password="D023" sheet="1" objects="1" scenarios="1"/>
  <printOptions/>
  <pageMargins left="0.75" right="0.75" top="1" bottom="1" header="0.5" footer="0.5"/>
  <pageSetup fitToHeight="1" fitToWidth="1" horizontalDpi="600" verticalDpi="600" orientation="portrait" scale="80" r:id="rId1"/>
  <headerFooter alignWithMargins="0">
    <oddHeader>&amp;CTotal Cost of Application Ownership (TCA) Calculator</oddHeader>
    <oddFooter>&amp;LThe Tolly Group TCA Calculator&amp;R© The Tolly Group, 1999</oddFooter>
  </headerFooter>
</worksheet>
</file>

<file path=xl/worksheets/sheet44.xml><?xml version="1.0" encoding="utf-8"?>
<worksheet xmlns="http://schemas.openxmlformats.org/spreadsheetml/2006/main" xmlns:r="http://schemas.openxmlformats.org/officeDocument/2006/relationships">
  <sheetPr codeName="Sheet41">
    <pageSetUpPr fitToPage="1"/>
  </sheetPr>
  <dimension ref="A1:O79"/>
  <sheetViews>
    <sheetView workbookViewId="0" topLeftCell="A40">
      <selection activeCell="H36" sqref="H36"/>
    </sheetView>
  </sheetViews>
  <sheetFormatPr defaultColWidth="9.140625" defaultRowHeight="12.75"/>
  <cols>
    <col min="3" max="3" width="11.57421875" style="0" customWidth="1"/>
    <col min="4" max="4" width="14.7109375" style="0" customWidth="1"/>
    <col min="5" max="5" width="13.421875" style="0" customWidth="1"/>
    <col min="6" max="6" width="15.8515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455</v>
      </c>
      <c r="C3" s="5"/>
      <c r="D3" s="5"/>
      <c r="E3" s="5"/>
      <c r="F3" s="5"/>
      <c r="G3" s="6"/>
    </row>
    <row r="4" spans="1:7" ht="12.75" customHeight="1">
      <c r="A4" s="4"/>
      <c r="B4" s="30"/>
      <c r="C4" s="5"/>
      <c r="D4" s="5"/>
      <c r="E4" s="5"/>
      <c r="F4" s="5"/>
      <c r="G4" s="6"/>
    </row>
    <row r="5" spans="1:7" ht="12.75" customHeight="1">
      <c r="A5" s="4"/>
      <c r="B5" s="15" t="s">
        <v>456</v>
      </c>
      <c r="C5" s="5"/>
      <c r="D5" s="5"/>
      <c r="E5" s="5"/>
      <c r="F5" s="31">
        <f>AVERAGE('Citrix Client Base Data'!F18:F19)*'Citrix Client Base Data'!F22+AVERAGE('Citrix Client Base Data'!F18:F19)</f>
        <v>103075</v>
      </c>
      <c r="G5" s="6"/>
    </row>
    <row r="6" spans="1:7" ht="12.75" customHeight="1">
      <c r="A6" s="4"/>
      <c r="B6" s="15" t="s">
        <v>457</v>
      </c>
      <c r="C6" s="5"/>
      <c r="D6" s="5"/>
      <c r="E6" s="5"/>
      <c r="F6" s="189">
        <f>'Detailed Data 2'!H14</f>
        <v>185</v>
      </c>
      <c r="G6" s="6"/>
    </row>
    <row r="7" spans="1:7" ht="12.75" customHeight="1">
      <c r="A7" s="4"/>
      <c r="B7" s="30"/>
      <c r="C7" s="5"/>
      <c r="D7" s="5"/>
      <c r="E7" s="5"/>
      <c r="F7" s="5"/>
      <c r="G7" s="6"/>
    </row>
    <row r="8" spans="1:7" ht="12.75">
      <c r="A8" s="4"/>
      <c r="B8" s="5"/>
      <c r="C8" s="5"/>
      <c r="D8" s="5"/>
      <c r="E8" s="5"/>
      <c r="F8" s="5"/>
      <c r="G8" s="6"/>
    </row>
    <row r="9" spans="1:7" ht="12.75">
      <c r="A9" s="4"/>
      <c r="B9" s="15" t="s">
        <v>458</v>
      </c>
      <c r="C9" s="5"/>
      <c r="D9" s="5"/>
      <c r="E9" s="5" t="s">
        <v>50</v>
      </c>
      <c r="F9" s="101" t="s">
        <v>41</v>
      </c>
      <c r="G9" s="6"/>
    </row>
    <row r="10" spans="1:7" ht="12.75">
      <c r="A10" s="4"/>
      <c r="B10" s="5"/>
      <c r="C10" s="5" t="s">
        <v>51</v>
      </c>
      <c r="D10" s="5"/>
      <c r="E10" s="103">
        <f>'Detailed Data 2'!H16</f>
        <v>0</v>
      </c>
      <c r="F10" s="31">
        <f>F5/52/40*E10</f>
        <v>0</v>
      </c>
      <c r="G10" s="6"/>
    </row>
    <row r="11" spans="1:7" ht="12.75">
      <c r="A11" s="4"/>
      <c r="B11" s="5"/>
      <c r="C11" s="5" t="s">
        <v>52</v>
      </c>
      <c r="D11" s="5"/>
      <c r="E11" s="103">
        <f>'Detailed Data 2'!H17</f>
        <v>0</v>
      </c>
      <c r="F11" s="31">
        <f>F5/52/40*E11</f>
        <v>0</v>
      </c>
      <c r="G11" s="6"/>
    </row>
    <row r="12" spans="1:7" ht="12.75">
      <c r="A12" s="4"/>
      <c r="B12" s="5"/>
      <c r="C12" s="5" t="s">
        <v>53</v>
      </c>
      <c r="D12" s="5"/>
      <c r="E12" s="103">
        <f>'Detailed Data 2'!H18</f>
        <v>20</v>
      </c>
      <c r="F12" s="31">
        <f>F5/52/40*E12</f>
        <v>991.1057692307693</v>
      </c>
      <c r="G12" s="6"/>
    </row>
    <row r="13" spans="1:7" ht="13.5" thickBot="1">
      <c r="A13" s="4"/>
      <c r="B13" s="22"/>
      <c r="C13" s="22" t="s">
        <v>54</v>
      </c>
      <c r="D13" s="22"/>
      <c r="E13" s="191">
        <f>'Detailed Data 2'!H19</f>
        <v>20</v>
      </c>
      <c r="F13" s="35">
        <f>F5/52/40*E13</f>
        <v>991.1057692307693</v>
      </c>
      <c r="G13" s="6"/>
    </row>
    <row r="14" spans="1:7" ht="13.5" thickTop="1">
      <c r="A14" s="4"/>
      <c r="B14" s="5" t="s">
        <v>269</v>
      </c>
      <c r="C14" s="5"/>
      <c r="D14" s="5"/>
      <c r="E14" s="5"/>
      <c r="F14" s="31">
        <f>SUM(F10:F13)</f>
        <v>1982.2115384615386</v>
      </c>
      <c r="G14" s="6"/>
    </row>
    <row r="15" spans="1:7" ht="12.75">
      <c r="A15" s="4"/>
      <c r="B15" s="5"/>
      <c r="C15" s="5"/>
      <c r="D15" s="5"/>
      <c r="E15" s="5"/>
      <c r="F15" s="31"/>
      <c r="G15" s="6"/>
    </row>
    <row r="16" spans="1:7" ht="12.75">
      <c r="A16" s="4"/>
      <c r="B16" s="15" t="s">
        <v>459</v>
      </c>
      <c r="C16" s="5"/>
      <c r="D16" s="5"/>
      <c r="E16" s="5" t="s">
        <v>50</v>
      </c>
      <c r="F16" s="31"/>
      <c r="G16" s="6"/>
    </row>
    <row r="17" spans="1:7" ht="12.75">
      <c r="A17" s="4"/>
      <c r="B17" s="5"/>
      <c r="C17" s="5" t="s">
        <v>51</v>
      </c>
      <c r="D17" s="5"/>
      <c r="E17" s="103">
        <f>'Detailed Data 2'!H21</f>
        <v>0</v>
      </c>
      <c r="F17" s="31">
        <f>F6*E17</f>
        <v>0</v>
      </c>
      <c r="G17" s="6"/>
    </row>
    <row r="18" spans="1:7" ht="12.75">
      <c r="A18" s="4"/>
      <c r="B18" s="5"/>
      <c r="C18" s="5" t="s">
        <v>52</v>
      </c>
      <c r="D18" s="5"/>
      <c r="E18" s="103">
        <f>'Detailed Data 2'!H22</f>
        <v>0</v>
      </c>
      <c r="F18" s="31">
        <f>F6*E18</f>
        <v>0</v>
      </c>
      <c r="G18" s="6"/>
    </row>
    <row r="19" spans="1:7" ht="12.75">
      <c r="A19" s="4"/>
      <c r="B19" s="5"/>
      <c r="C19" s="5" t="s">
        <v>53</v>
      </c>
      <c r="D19" s="5"/>
      <c r="E19" s="103">
        <f>'Detailed Data 2'!H23</f>
        <v>0</v>
      </c>
      <c r="F19" s="31">
        <f>F6*E19</f>
        <v>0</v>
      </c>
      <c r="G19" s="6"/>
    </row>
    <row r="20" spans="1:7" ht="13.5" thickBot="1">
      <c r="A20" s="4"/>
      <c r="B20" s="22"/>
      <c r="C20" s="22" t="s">
        <v>54</v>
      </c>
      <c r="D20" s="22"/>
      <c r="E20" s="191">
        <f>'Detailed Data 2'!H24</f>
        <v>0</v>
      </c>
      <c r="F20" s="35">
        <f>F6*E20</f>
        <v>0</v>
      </c>
      <c r="G20" s="6"/>
    </row>
    <row r="21" spans="1:7" ht="13.5" thickTop="1">
      <c r="A21" s="4"/>
      <c r="B21" s="5"/>
      <c r="C21" s="5"/>
      <c r="D21" s="5"/>
      <c r="E21" s="5"/>
      <c r="F21" s="31">
        <f>SUM(F17:F20)</f>
        <v>0</v>
      </c>
      <c r="G21" s="6"/>
    </row>
    <row r="22" spans="1:7" ht="12.75">
      <c r="A22" s="4"/>
      <c r="B22" s="5"/>
      <c r="C22" s="5"/>
      <c r="D22" s="5"/>
      <c r="E22" s="5"/>
      <c r="F22" s="31"/>
      <c r="G22" s="6"/>
    </row>
    <row r="23" spans="1:7" ht="12.75">
      <c r="A23" s="4"/>
      <c r="B23" s="15" t="s">
        <v>460</v>
      </c>
      <c r="C23" s="5"/>
      <c r="D23" s="5"/>
      <c r="E23" s="5"/>
      <c r="F23" s="55"/>
      <c r="G23" s="6"/>
    </row>
    <row r="24" spans="1:7" ht="12.75">
      <c r="A24" s="4"/>
      <c r="B24" s="5"/>
      <c r="C24" s="5" t="s">
        <v>55</v>
      </c>
      <c r="D24" s="5"/>
      <c r="E24" s="5"/>
      <c r="F24" s="189">
        <f>'Fat-Application Development'!G24</f>
        <v>0</v>
      </c>
      <c r="G24" s="6"/>
    </row>
    <row r="25" spans="1:7" ht="12.75">
      <c r="A25" s="4"/>
      <c r="B25" s="5"/>
      <c r="C25" s="5" t="s">
        <v>56</v>
      </c>
      <c r="D25" s="5"/>
      <c r="E25" s="5"/>
      <c r="F25" s="189">
        <f>'Fat-Application Development'!G25</f>
        <v>0</v>
      </c>
      <c r="G25" s="6"/>
    </row>
    <row r="26" spans="1:7" ht="12.75">
      <c r="A26" s="4"/>
      <c r="B26" s="5"/>
      <c r="C26" s="5" t="s">
        <v>57</v>
      </c>
      <c r="D26" s="5"/>
      <c r="E26" s="5"/>
      <c r="F26" s="189">
        <f>'Fat-Application Development'!G26</f>
        <v>10000</v>
      </c>
      <c r="G26" s="6"/>
    </row>
    <row r="27" spans="1:7" ht="12.75">
      <c r="A27" s="4"/>
      <c r="B27" s="5"/>
      <c r="C27" s="5" t="s">
        <v>58</v>
      </c>
      <c r="D27" s="36"/>
      <c r="E27" s="36"/>
      <c r="F27" s="245"/>
      <c r="G27" s="6"/>
    </row>
    <row r="28" spans="1:7" ht="12.75">
      <c r="A28" s="4"/>
      <c r="B28" s="5"/>
      <c r="C28" s="5"/>
      <c r="D28" s="5" t="s">
        <v>59</v>
      </c>
      <c r="E28" s="5"/>
      <c r="F28" s="189">
        <f>'Fat-Application Development'!G28</f>
        <v>10000</v>
      </c>
      <c r="G28" s="6"/>
    </row>
    <row r="29" spans="1:7" ht="13.5" thickBot="1">
      <c r="A29" s="4"/>
      <c r="B29" s="22"/>
      <c r="C29" s="22"/>
      <c r="D29" s="22" t="s">
        <v>44</v>
      </c>
      <c r="E29" s="22"/>
      <c r="F29" s="189">
        <f>'Fat-Application Development'!G29</f>
        <v>10000</v>
      </c>
      <c r="G29" s="6"/>
    </row>
    <row r="30" spans="1:7" ht="13.5" thickTop="1">
      <c r="A30" s="4"/>
      <c r="B30" s="5" t="s">
        <v>269</v>
      </c>
      <c r="C30" s="5"/>
      <c r="D30" s="5"/>
      <c r="E30" s="5"/>
      <c r="F30" s="31">
        <f>SUM(F24:F26,F28:F29)</f>
        <v>30000</v>
      </c>
      <c r="G30" s="6"/>
    </row>
    <row r="31" spans="1:7" ht="13.5" thickBot="1">
      <c r="A31" s="4"/>
      <c r="B31" s="5"/>
      <c r="C31" s="5"/>
      <c r="D31" s="5"/>
      <c r="E31" s="5"/>
      <c r="F31" s="31"/>
      <c r="G31" s="6"/>
    </row>
    <row r="32" spans="1:7" ht="14.25" thickBot="1" thickTop="1">
      <c r="A32" s="4"/>
      <c r="B32" s="37" t="s">
        <v>60</v>
      </c>
      <c r="C32" s="38"/>
      <c r="D32" s="38"/>
      <c r="E32" s="38"/>
      <c r="F32" s="39">
        <f>F14+F21+F30</f>
        <v>31982.21153846154</v>
      </c>
      <c r="G32" s="6"/>
    </row>
    <row r="33" spans="1:7" ht="13.5" thickTop="1">
      <c r="A33" s="4"/>
      <c r="B33" s="5"/>
      <c r="C33" s="5"/>
      <c r="D33" s="5"/>
      <c r="E33" s="5"/>
      <c r="F33" s="5"/>
      <c r="G33" s="6"/>
    </row>
    <row r="34" spans="1:7" ht="13.5" thickBot="1">
      <c r="A34" s="7"/>
      <c r="B34" s="8"/>
      <c r="C34" s="8"/>
      <c r="D34" s="8"/>
      <c r="E34" s="8"/>
      <c r="F34" s="8"/>
      <c r="G34" s="9"/>
    </row>
    <row r="35"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98" r:id="rId1"/>
  <headerFooter alignWithMargins="0">
    <oddHeader>&amp;CTotal Cost of Application Ownership (TCA) Calculator</oddHeader>
    <oddFooter>&amp;LThe Tolly Group TCA Calculator&amp;R© The Tolly Group, 1999</oddFooter>
  </headerFooter>
</worksheet>
</file>

<file path=xl/worksheets/sheet45.xml><?xml version="1.0" encoding="utf-8"?>
<worksheet xmlns="http://schemas.openxmlformats.org/spreadsheetml/2006/main" xmlns:r="http://schemas.openxmlformats.org/officeDocument/2006/relationships">
  <sheetPr codeName="Sheet54">
    <pageSetUpPr fitToPage="1"/>
  </sheetPr>
  <dimension ref="A1:O79"/>
  <sheetViews>
    <sheetView workbookViewId="0" topLeftCell="A40">
      <selection activeCell="G7" sqref="G7"/>
    </sheetView>
  </sheetViews>
  <sheetFormatPr defaultColWidth="9.140625" defaultRowHeight="12.75"/>
  <cols>
    <col min="2" max="2" width="9.57421875" style="0" customWidth="1"/>
    <col min="4" max="4" width="9.57421875" style="0" customWidth="1"/>
    <col min="5" max="5" width="15.140625" style="0" customWidth="1"/>
    <col min="6" max="6" width="16.140625" style="0" customWidth="1"/>
    <col min="7" max="7" width="11.28125" style="0" customWidth="1"/>
    <col min="8" max="8" width="14.14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461</v>
      </c>
      <c r="C3" s="5"/>
      <c r="D3" s="5"/>
      <c r="E3" s="5"/>
      <c r="F3" s="5"/>
      <c r="G3" s="5"/>
      <c r="H3" s="5"/>
      <c r="I3" s="6"/>
    </row>
    <row r="4" spans="1:9" ht="12.75">
      <c r="A4" s="4"/>
      <c r="B4" s="5"/>
      <c r="C4" s="5"/>
      <c r="D4" s="5"/>
      <c r="E4" s="5"/>
      <c r="F4" s="5"/>
      <c r="G4" s="51" t="s">
        <v>1</v>
      </c>
      <c r="H4" s="51"/>
      <c r="I4" s="6"/>
    </row>
    <row r="5" spans="1:9" ht="15.75">
      <c r="A5" s="14"/>
      <c r="B5" s="30" t="s">
        <v>462</v>
      </c>
      <c r="C5" s="5"/>
      <c r="D5" s="5"/>
      <c r="E5" s="5"/>
      <c r="F5" s="31"/>
      <c r="G5" s="5"/>
      <c r="H5" s="5"/>
      <c r="I5" s="6"/>
    </row>
    <row r="6" spans="1:9" ht="12.75">
      <c r="A6" s="4"/>
      <c r="B6" s="5"/>
      <c r="C6" s="15" t="s">
        <v>463</v>
      </c>
      <c r="D6" s="5"/>
      <c r="E6" s="5"/>
      <c r="F6" s="31" t="s">
        <v>264</v>
      </c>
      <c r="G6" s="51" t="s">
        <v>263</v>
      </c>
      <c r="H6" s="142" t="s">
        <v>41</v>
      </c>
      <c r="I6" s="6"/>
    </row>
    <row r="7" spans="1:9" ht="12.75">
      <c r="A7" s="4"/>
      <c r="B7" s="5"/>
      <c r="C7" s="5"/>
      <c r="D7" s="5" t="s">
        <v>62</v>
      </c>
      <c r="E7" s="5"/>
      <c r="F7" s="85">
        <f>'Client Software Acquisition'!G8</f>
        <v>189</v>
      </c>
      <c r="G7" s="160">
        <f>'Client Software Acquisition'!J8</f>
        <v>0</v>
      </c>
      <c r="H7" s="31">
        <f aca="true" t="shared" si="0" ref="H7:H13">F7*G7</f>
        <v>0</v>
      </c>
      <c r="I7" s="6"/>
    </row>
    <row r="8" spans="1:9" ht="12.75">
      <c r="A8" s="4"/>
      <c r="B8" s="5"/>
      <c r="C8" s="5"/>
      <c r="D8" s="5" t="s">
        <v>63</v>
      </c>
      <c r="E8" s="5"/>
      <c r="F8" s="85">
        <f>'Client Software Acquisition'!G9</f>
        <v>98</v>
      </c>
      <c r="G8" s="160">
        <f>'Client Software Acquisition'!J9</f>
        <v>0</v>
      </c>
      <c r="H8" s="31">
        <f t="shared" si="0"/>
        <v>0</v>
      </c>
      <c r="I8" s="6"/>
    </row>
    <row r="9" spans="1:9" ht="12.75">
      <c r="A9" s="4"/>
      <c r="B9" s="5"/>
      <c r="C9" s="5"/>
      <c r="D9" s="5" t="s">
        <v>64</v>
      </c>
      <c r="E9" s="5"/>
      <c r="F9" s="85">
        <f>'Client Software Acquisition'!G10</f>
        <v>0</v>
      </c>
      <c r="G9" s="160">
        <f>'Client Software Acquisition'!J10</f>
        <v>0</v>
      </c>
      <c r="H9" s="31">
        <f t="shared" si="0"/>
        <v>0</v>
      </c>
      <c r="I9" s="6"/>
    </row>
    <row r="10" spans="1:9" ht="12.75">
      <c r="A10" s="4"/>
      <c r="B10" s="5"/>
      <c r="C10" s="5"/>
      <c r="D10" s="5" t="s">
        <v>65</v>
      </c>
      <c r="E10" s="5"/>
      <c r="F10" s="85">
        <f>'Client Software Acquisition'!G11</f>
        <v>0</v>
      </c>
      <c r="G10" s="160">
        <f>'Client Software Acquisition'!J11</f>
        <v>0</v>
      </c>
      <c r="H10" s="31">
        <f t="shared" si="0"/>
        <v>0</v>
      </c>
      <c r="I10" s="6"/>
    </row>
    <row r="11" spans="1:9" ht="12.75">
      <c r="A11" s="4"/>
      <c r="B11" s="5"/>
      <c r="C11" s="5"/>
      <c r="D11" s="5" t="s">
        <v>66</v>
      </c>
      <c r="E11" s="5"/>
      <c r="F11" s="85">
        <f>'Client Software Acquisition'!G12</f>
        <v>0</v>
      </c>
      <c r="G11" s="160">
        <f>'Client Software Acquisition'!J12</f>
        <v>0</v>
      </c>
      <c r="H11" s="31">
        <f t="shared" si="0"/>
        <v>0</v>
      </c>
      <c r="I11" s="6"/>
    </row>
    <row r="12" spans="1:9" ht="12.75">
      <c r="A12" s="4"/>
      <c r="B12" s="5"/>
      <c r="C12" s="5"/>
      <c r="D12" s="5" t="s">
        <v>67</v>
      </c>
      <c r="E12" s="5"/>
      <c r="F12" s="85">
        <f>'Client Software Acquisition'!G13</f>
        <v>0</v>
      </c>
      <c r="G12" s="160">
        <f>'Client Software Acquisition'!J13</f>
        <v>0</v>
      </c>
      <c r="H12" s="31">
        <f t="shared" si="0"/>
        <v>0</v>
      </c>
      <c r="I12" s="6"/>
    </row>
    <row r="13" spans="1:9" ht="13.5" thickBot="1">
      <c r="A13" s="52"/>
      <c r="B13" s="22"/>
      <c r="C13" s="22"/>
      <c r="D13" s="22" t="s">
        <v>25</v>
      </c>
      <c r="E13" s="22"/>
      <c r="F13" s="85">
        <f>'Client Software Acquisition'!G14</f>
        <v>0</v>
      </c>
      <c r="G13" s="160">
        <f>'Client Software Acquisition'!J14</f>
        <v>0</v>
      </c>
      <c r="H13" s="35">
        <f t="shared" si="0"/>
        <v>0</v>
      </c>
      <c r="I13" s="6"/>
    </row>
    <row r="14" spans="1:9" ht="13.5" thickTop="1">
      <c r="A14" s="4"/>
      <c r="B14" s="5" t="s">
        <v>269</v>
      </c>
      <c r="C14" s="5"/>
      <c r="D14" s="5"/>
      <c r="E14" s="5"/>
      <c r="F14" s="31"/>
      <c r="G14" s="5"/>
      <c r="H14" s="31">
        <f>SUM(H7:H13)</f>
        <v>0</v>
      </c>
      <c r="I14" s="6"/>
    </row>
    <row r="15" spans="1:9" ht="12.75">
      <c r="A15" s="4"/>
      <c r="B15" s="5"/>
      <c r="C15" s="5"/>
      <c r="D15" s="5"/>
      <c r="E15" s="5"/>
      <c r="F15" s="31"/>
      <c r="G15" s="5"/>
      <c r="H15" s="5"/>
      <c r="I15" s="6"/>
    </row>
    <row r="16" spans="1:9" ht="12.75">
      <c r="A16" s="4"/>
      <c r="B16" s="5"/>
      <c r="C16" s="15" t="s">
        <v>464</v>
      </c>
      <c r="D16" s="5"/>
      <c r="E16" s="5"/>
      <c r="F16" s="31"/>
      <c r="G16" s="5"/>
      <c r="H16" s="5"/>
      <c r="I16" s="6"/>
    </row>
    <row r="17" spans="1:9" ht="12.75">
      <c r="A17" s="4"/>
      <c r="B17" s="5"/>
      <c r="C17" s="5"/>
      <c r="D17" s="5" t="s">
        <v>68</v>
      </c>
      <c r="E17" s="5"/>
      <c r="F17" s="85">
        <f>'Client Software Acquisition'!G18</f>
        <v>58</v>
      </c>
      <c r="G17" s="160">
        <f>'Client Software Acquisition'!J18</f>
        <v>2500</v>
      </c>
      <c r="H17" s="31">
        <f>F17*G17</f>
        <v>145000</v>
      </c>
      <c r="I17" s="6"/>
    </row>
    <row r="18" spans="1:9" ht="12.75">
      <c r="A18" s="4"/>
      <c r="B18" s="5"/>
      <c r="C18" s="5"/>
      <c r="D18" s="5" t="s">
        <v>69</v>
      </c>
      <c r="E18" s="5"/>
      <c r="F18" s="85">
        <f>'Client Software Acquisition'!G19</f>
        <v>65</v>
      </c>
      <c r="G18" s="160">
        <f>'Client Software Acquisition'!J19</f>
        <v>2500</v>
      </c>
      <c r="H18" s="31">
        <f>F18*G18</f>
        <v>162500</v>
      </c>
      <c r="I18" s="6"/>
    </row>
    <row r="19" spans="1:9" ht="13.5" thickBot="1">
      <c r="A19" s="52"/>
      <c r="B19" s="22"/>
      <c r="C19" s="22"/>
      <c r="D19" s="22" t="s">
        <v>25</v>
      </c>
      <c r="E19" s="22"/>
      <c r="F19" s="85">
        <f>'Client Software Acquisition'!G20</f>
        <v>0</v>
      </c>
      <c r="G19" s="160">
        <f>'Client Software Acquisition'!J20</f>
        <v>0</v>
      </c>
      <c r="H19" s="35">
        <f>F19*G19</f>
        <v>0</v>
      </c>
      <c r="I19" s="6"/>
    </row>
    <row r="20" spans="1:9" ht="13.5" thickTop="1">
      <c r="A20" s="4"/>
      <c r="B20" s="5" t="s">
        <v>269</v>
      </c>
      <c r="C20" s="5"/>
      <c r="D20" s="5"/>
      <c r="E20" s="5"/>
      <c r="F20" s="31"/>
      <c r="G20" s="5"/>
      <c r="H20" s="31">
        <f>SUM(H17:H19)</f>
        <v>307500</v>
      </c>
      <c r="I20" s="6"/>
    </row>
    <row r="21" spans="1:9" ht="12.75">
      <c r="A21" s="4"/>
      <c r="B21" s="5"/>
      <c r="C21" s="5"/>
      <c r="D21" s="5"/>
      <c r="E21" s="5"/>
      <c r="F21" s="31"/>
      <c r="G21" s="5"/>
      <c r="H21" s="5"/>
      <c r="I21" s="6"/>
    </row>
    <row r="22" spans="1:9" ht="12.75">
      <c r="A22" s="4"/>
      <c r="B22" s="5"/>
      <c r="C22" s="15" t="s">
        <v>465</v>
      </c>
      <c r="D22" s="5"/>
      <c r="E22" s="5"/>
      <c r="F22" s="31"/>
      <c r="G22" s="5"/>
      <c r="H22" s="5"/>
      <c r="I22" s="6"/>
    </row>
    <row r="23" spans="1:9" ht="12.75">
      <c r="A23" s="4"/>
      <c r="B23" s="5"/>
      <c r="C23" s="5"/>
      <c r="D23" s="5" t="s">
        <v>70</v>
      </c>
      <c r="E23" s="5"/>
      <c r="F23" s="85">
        <f>'Client Software Acquisition'!G23</f>
        <v>50</v>
      </c>
      <c r="G23" s="160">
        <f>'Client Software Acquisition'!J23</f>
        <v>2500</v>
      </c>
      <c r="H23" s="31">
        <f>F23*G23</f>
        <v>125000</v>
      </c>
      <c r="I23" s="6"/>
    </row>
    <row r="24" spans="1:9" ht="12.75">
      <c r="A24" s="4"/>
      <c r="B24" s="5"/>
      <c r="C24" s="5"/>
      <c r="D24" s="5" t="s">
        <v>71</v>
      </c>
      <c r="E24" s="5"/>
      <c r="F24" s="85">
        <f>'Client Software Acquisition'!G24</f>
        <v>0</v>
      </c>
      <c r="G24" s="160">
        <f>'Client Software Acquisition'!J24</f>
        <v>0</v>
      </c>
      <c r="H24" s="31">
        <f>F24*G24</f>
        <v>0</v>
      </c>
      <c r="I24" s="6"/>
    </row>
    <row r="25" spans="1:9" ht="12.75">
      <c r="A25" s="4"/>
      <c r="B25" s="5"/>
      <c r="C25" s="5"/>
      <c r="D25" s="5" t="s">
        <v>72</v>
      </c>
      <c r="E25" s="5"/>
      <c r="F25" s="85">
        <f>'Client Software Acquisition'!G25</f>
        <v>69</v>
      </c>
      <c r="G25" s="160">
        <f>'Client Software Acquisition'!J25</f>
        <v>2500</v>
      </c>
      <c r="H25" s="31">
        <f>F25*G25</f>
        <v>172500</v>
      </c>
      <c r="I25" s="6"/>
    </row>
    <row r="26" spans="1:9" ht="13.5" thickBot="1">
      <c r="A26" s="52"/>
      <c r="B26" s="22"/>
      <c r="C26" s="22"/>
      <c r="D26" s="22" t="s">
        <v>25</v>
      </c>
      <c r="E26" s="22"/>
      <c r="F26" s="85">
        <f>'Client Software Acquisition'!G26</f>
        <v>0</v>
      </c>
      <c r="G26" s="160">
        <f>'Client Software Acquisition'!J26</f>
        <v>0</v>
      </c>
      <c r="H26" s="35">
        <f>F26*G26</f>
        <v>0</v>
      </c>
      <c r="I26" s="6"/>
    </row>
    <row r="27" spans="1:9" ht="13.5" thickTop="1">
      <c r="A27" s="4"/>
      <c r="B27" s="5" t="s">
        <v>269</v>
      </c>
      <c r="C27" s="5"/>
      <c r="D27" s="5"/>
      <c r="E27" s="5"/>
      <c r="F27" s="31"/>
      <c r="G27" s="5"/>
      <c r="H27" s="31">
        <f>SUM(H23:H26)</f>
        <v>297500</v>
      </c>
      <c r="I27" s="6"/>
    </row>
    <row r="28" spans="1:9" ht="13.5" thickBot="1">
      <c r="A28" s="4"/>
      <c r="B28" s="5"/>
      <c r="C28" s="5"/>
      <c r="D28" s="5"/>
      <c r="E28" s="5"/>
      <c r="F28" s="31"/>
      <c r="G28" s="5"/>
      <c r="H28" s="5"/>
      <c r="I28" s="6"/>
    </row>
    <row r="29" spans="1:9" ht="14.25" thickBot="1" thickTop="1">
      <c r="A29" s="4"/>
      <c r="B29" s="37" t="s">
        <v>73</v>
      </c>
      <c r="C29" s="38"/>
      <c r="D29" s="38"/>
      <c r="E29" s="38"/>
      <c r="F29" s="53"/>
      <c r="G29" s="38"/>
      <c r="H29" s="39">
        <f>SUM(H27,H20,H14)</f>
        <v>605000</v>
      </c>
      <c r="I29" s="6"/>
    </row>
    <row r="30" spans="1:9" ht="13.5" thickTop="1">
      <c r="A30" s="4"/>
      <c r="B30" s="5"/>
      <c r="C30" s="5"/>
      <c r="D30" s="5"/>
      <c r="E30" s="5"/>
      <c r="F30" s="5"/>
      <c r="G30" s="5"/>
      <c r="H30" s="5"/>
      <c r="I30" s="6"/>
    </row>
    <row r="31" spans="1:9" ht="12.75">
      <c r="A31" s="4"/>
      <c r="B31" s="5"/>
      <c r="C31" s="5"/>
      <c r="D31" s="5"/>
      <c r="E31" s="5"/>
      <c r="F31" s="5"/>
      <c r="G31" s="5"/>
      <c r="H31" s="5"/>
      <c r="I31" s="6"/>
    </row>
    <row r="32" spans="1:9" ht="13.5" thickBot="1">
      <c r="A32" s="7"/>
      <c r="B32" s="8"/>
      <c r="C32" s="8"/>
      <c r="D32" s="8"/>
      <c r="E32" s="8"/>
      <c r="F32" s="8"/>
      <c r="G32" s="8"/>
      <c r="H32" s="8"/>
      <c r="I32" s="9"/>
    </row>
    <row r="33"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1" r:id="rId1"/>
  <headerFooter alignWithMargins="0">
    <oddHeader>&amp;CTotal Cost of Application Ownership (TCA) Calculator</oddHeader>
    <oddFooter>&amp;LThe Tolly Group TCA Calculator&amp;R© The Tolly Group, 1999</oddFooter>
  </headerFooter>
</worksheet>
</file>

<file path=xl/worksheets/sheet46.xml><?xml version="1.0" encoding="utf-8"?>
<worksheet xmlns="http://schemas.openxmlformats.org/spreadsheetml/2006/main" xmlns:r="http://schemas.openxmlformats.org/officeDocument/2006/relationships">
  <sheetPr codeName="Sheet61">
    <pageSetUpPr fitToPage="1"/>
  </sheetPr>
  <dimension ref="A1:O79"/>
  <sheetViews>
    <sheetView workbookViewId="0" topLeftCell="A40">
      <selection activeCell="G37" sqref="G37"/>
    </sheetView>
  </sheetViews>
  <sheetFormatPr defaultColWidth="9.140625" defaultRowHeight="12.75"/>
  <cols>
    <col min="2" max="2" width="9.57421875" style="0" customWidth="1"/>
    <col min="4" max="4" width="9.8515625" style="0" customWidth="1"/>
    <col min="5" max="5" width="15.140625" style="0" customWidth="1"/>
    <col min="6" max="6" width="16.140625" style="0" customWidth="1"/>
    <col min="7" max="7" width="11.28125" style="0" customWidth="1"/>
    <col min="8" max="8" width="13.00390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466</v>
      </c>
      <c r="C3" s="5"/>
      <c r="D3" s="5"/>
      <c r="E3" s="5"/>
      <c r="F3" s="5"/>
      <c r="G3" s="5"/>
      <c r="H3" s="5"/>
      <c r="I3" s="6"/>
    </row>
    <row r="4" spans="1:9" ht="12.75">
      <c r="A4" s="4"/>
      <c r="B4" s="5"/>
      <c r="C4" s="5"/>
      <c r="D4" s="5"/>
      <c r="E4" s="5"/>
      <c r="F4" s="5"/>
      <c r="G4" s="51" t="s">
        <v>1</v>
      </c>
      <c r="H4" s="51" t="s">
        <v>1</v>
      </c>
      <c r="I4" s="6"/>
    </row>
    <row r="5" spans="1:9" ht="15.75">
      <c r="A5" s="14"/>
      <c r="B5" s="30" t="s">
        <v>467</v>
      </c>
      <c r="C5" s="5"/>
      <c r="D5" s="5"/>
      <c r="E5" s="5"/>
      <c r="F5" s="31"/>
      <c r="G5" s="5"/>
      <c r="H5" s="5"/>
      <c r="I5" s="6"/>
    </row>
    <row r="6" spans="1:9" ht="12.75">
      <c r="A6" s="4"/>
      <c r="B6" s="15"/>
      <c r="C6" s="15" t="s">
        <v>468</v>
      </c>
      <c r="D6" s="5"/>
      <c r="E6" s="5"/>
      <c r="F6" s="31" t="s">
        <v>520</v>
      </c>
      <c r="G6" s="51" t="s">
        <v>312</v>
      </c>
      <c r="H6" s="142" t="s">
        <v>41</v>
      </c>
      <c r="I6" s="6"/>
    </row>
    <row r="7" spans="1:9" ht="12.75">
      <c r="A7" s="4"/>
      <c r="B7" s="5"/>
      <c r="C7" s="5"/>
      <c r="D7" s="5" t="s">
        <v>75</v>
      </c>
      <c r="E7" s="5"/>
      <c r="F7" s="85">
        <f>'Server Software Acquisition'!G8</f>
        <v>995</v>
      </c>
      <c r="G7" s="160">
        <f>'Server Software Acquisition'!J8</f>
        <v>38.46153846153846</v>
      </c>
      <c r="H7" s="31">
        <f aca="true" t="shared" si="0" ref="H7:H12">F7*G7</f>
        <v>38269.230769230766</v>
      </c>
      <c r="I7" s="6"/>
    </row>
    <row r="8" spans="1:9" ht="12.75">
      <c r="A8" s="4"/>
      <c r="B8" s="5"/>
      <c r="C8" s="5"/>
      <c r="D8" s="5" t="s">
        <v>76</v>
      </c>
      <c r="E8" s="5"/>
      <c r="F8" s="85">
        <f>'Server Software Acquisition'!G9</f>
        <v>0</v>
      </c>
      <c r="G8" s="160">
        <f>'Server Software Acquisition'!J9</f>
        <v>0</v>
      </c>
      <c r="H8" s="31">
        <f t="shared" si="0"/>
        <v>0</v>
      </c>
      <c r="I8" s="6"/>
    </row>
    <row r="9" spans="1:9" ht="12.75">
      <c r="A9" s="4"/>
      <c r="B9" s="5"/>
      <c r="C9" s="5"/>
      <c r="D9" s="5" t="s">
        <v>65</v>
      </c>
      <c r="E9" s="5"/>
      <c r="F9" s="85">
        <f>'Server Software Acquisition'!G10</f>
        <v>0</v>
      </c>
      <c r="G9" s="160">
        <f>'Server Software Acquisition'!J10</f>
        <v>0</v>
      </c>
      <c r="H9" s="31">
        <f t="shared" si="0"/>
        <v>0</v>
      </c>
      <c r="I9" s="6"/>
    </row>
    <row r="10" spans="1:9" ht="12.75">
      <c r="A10" s="4"/>
      <c r="B10" s="5"/>
      <c r="C10" s="5"/>
      <c r="D10" s="5" t="s">
        <v>77</v>
      </c>
      <c r="E10" s="5"/>
      <c r="F10" s="85">
        <f>'Server Software Acquisition'!G11</f>
        <v>0</v>
      </c>
      <c r="G10" s="160">
        <f>'Server Software Acquisition'!J11</f>
        <v>0</v>
      </c>
      <c r="H10" s="31">
        <f t="shared" si="0"/>
        <v>0</v>
      </c>
      <c r="I10" s="6"/>
    </row>
    <row r="11" spans="1:9" ht="12.75">
      <c r="A11" s="4"/>
      <c r="B11" s="5"/>
      <c r="C11" s="5"/>
      <c r="D11" s="5" t="s">
        <v>78</v>
      </c>
      <c r="E11" s="5"/>
      <c r="F11" s="85">
        <f>'Server Software Acquisition'!G12</f>
        <v>0</v>
      </c>
      <c r="G11" s="160">
        <f>'Server Software Acquisition'!J12</f>
        <v>0</v>
      </c>
      <c r="H11" s="31">
        <f t="shared" si="0"/>
        <v>0</v>
      </c>
      <c r="I11" s="6"/>
    </row>
    <row r="12" spans="1:9" ht="13.5" thickBot="1">
      <c r="A12" s="52"/>
      <c r="B12" s="22"/>
      <c r="C12" s="22"/>
      <c r="D12" s="22" t="s">
        <v>25</v>
      </c>
      <c r="E12" s="22"/>
      <c r="F12" s="85">
        <f>'Server Software Acquisition'!G13</f>
        <v>0</v>
      </c>
      <c r="G12" s="160">
        <f>'Server Software Acquisition'!J13</f>
        <v>0</v>
      </c>
      <c r="H12" s="35">
        <f t="shared" si="0"/>
        <v>0</v>
      </c>
      <c r="I12" s="6"/>
    </row>
    <row r="13" spans="1:9" ht="13.5" thickTop="1">
      <c r="A13" s="4"/>
      <c r="B13" s="5" t="s">
        <v>269</v>
      </c>
      <c r="C13" s="5"/>
      <c r="D13" s="5"/>
      <c r="E13" s="5"/>
      <c r="F13" s="31"/>
      <c r="G13" s="5"/>
      <c r="H13" s="31">
        <f>SUM(H7:H12)</f>
        <v>38269.230769230766</v>
      </c>
      <c r="I13" s="6"/>
    </row>
    <row r="14" spans="1:9" ht="12.75">
      <c r="A14" s="4"/>
      <c r="B14" s="5"/>
      <c r="C14" s="5"/>
      <c r="D14" s="5"/>
      <c r="E14" s="5"/>
      <c r="F14" s="31"/>
      <c r="G14" s="5"/>
      <c r="H14" s="5"/>
      <c r="I14" s="6"/>
    </row>
    <row r="15" spans="1:9" ht="12.75">
      <c r="A15" s="4"/>
      <c r="B15" s="15"/>
      <c r="C15" s="15" t="s">
        <v>469</v>
      </c>
      <c r="D15" s="15"/>
      <c r="E15" s="5"/>
      <c r="F15" s="31"/>
      <c r="G15" s="5"/>
      <c r="H15" s="5"/>
      <c r="I15" s="6"/>
    </row>
    <row r="16" spans="1:9" ht="12.75">
      <c r="A16" s="4"/>
      <c r="B16" s="5"/>
      <c r="C16" s="5"/>
      <c r="D16" s="5" t="s">
        <v>79</v>
      </c>
      <c r="E16" s="5"/>
      <c r="F16" s="85">
        <f>'Server Software Acquisition'!G16</f>
        <v>495</v>
      </c>
      <c r="G16" s="88">
        <f>'Server Software Acquisition'!J16</f>
        <v>2</v>
      </c>
      <c r="H16" s="31">
        <f>F16*G16</f>
        <v>990</v>
      </c>
      <c r="I16" s="6"/>
    </row>
    <row r="17" spans="1:9" ht="12.75">
      <c r="A17" s="4"/>
      <c r="B17" s="5"/>
      <c r="C17" s="5"/>
      <c r="D17" s="5" t="s">
        <v>68</v>
      </c>
      <c r="E17" s="5"/>
      <c r="F17" s="85">
        <f>'Server Software Acquisition'!G17</f>
        <v>49</v>
      </c>
      <c r="G17" s="285">
        <f>'Server Software Acquisition'!J17</f>
        <v>38.46153846153846</v>
      </c>
      <c r="H17" s="31">
        <f>F17*G17</f>
        <v>1884.6153846153845</v>
      </c>
      <c r="I17" s="6"/>
    </row>
    <row r="18" spans="1:9" ht="13.5" thickBot="1">
      <c r="A18" s="52"/>
      <c r="B18" s="22"/>
      <c r="C18" s="22"/>
      <c r="D18" s="22" t="s">
        <v>25</v>
      </c>
      <c r="E18" s="22"/>
      <c r="F18" s="85">
        <f>'Server Software Acquisition'!G18</f>
        <v>0</v>
      </c>
      <c r="G18" s="88">
        <f>'Server Software Acquisition'!J18</f>
        <v>0</v>
      </c>
      <c r="H18" s="35">
        <f>F18*G18</f>
        <v>0</v>
      </c>
      <c r="I18" s="6"/>
    </row>
    <row r="19" spans="1:9" ht="13.5" thickTop="1">
      <c r="A19" s="4"/>
      <c r="B19" s="5" t="s">
        <v>269</v>
      </c>
      <c r="C19" s="5"/>
      <c r="D19" s="5"/>
      <c r="E19" s="5"/>
      <c r="F19" s="31"/>
      <c r="G19" s="5"/>
      <c r="H19" s="31">
        <f>SUM(H16:H18)</f>
        <v>2874.6153846153848</v>
      </c>
      <c r="I19" s="6"/>
    </row>
    <row r="20" spans="1:9" ht="12.75">
      <c r="A20" s="4"/>
      <c r="B20" s="5"/>
      <c r="C20" s="5"/>
      <c r="D20" s="5"/>
      <c r="E20" s="5"/>
      <c r="F20" s="31"/>
      <c r="G20" s="5"/>
      <c r="H20" s="5"/>
      <c r="I20" s="6"/>
    </row>
    <row r="21" spans="1:9" ht="12.75">
      <c r="A21" s="4"/>
      <c r="B21" s="15"/>
      <c r="C21" s="15" t="s">
        <v>470</v>
      </c>
      <c r="D21" s="15"/>
      <c r="E21" s="5"/>
      <c r="F21" s="31"/>
      <c r="G21" s="5"/>
      <c r="H21" s="5"/>
      <c r="I21" s="6"/>
    </row>
    <row r="22" spans="1:9" ht="12.75">
      <c r="A22" s="4"/>
      <c r="B22" s="5"/>
      <c r="C22" s="5"/>
      <c r="D22" s="5" t="s">
        <v>80</v>
      </c>
      <c r="E22" s="5"/>
      <c r="F22" s="85">
        <f>'Server Software Acquisition'!G21</f>
        <v>150</v>
      </c>
      <c r="G22" s="160">
        <f>'Server Software Acquisition'!J21</f>
        <v>2500</v>
      </c>
      <c r="H22" s="31">
        <f aca="true" t="shared" si="1" ref="H22:H30">F22*G22</f>
        <v>375000</v>
      </c>
      <c r="I22" s="6"/>
    </row>
    <row r="23" spans="1:9" ht="12.75">
      <c r="A23" s="4"/>
      <c r="B23" s="5"/>
      <c r="C23" s="5"/>
      <c r="D23" s="5" t="s">
        <v>81</v>
      </c>
      <c r="E23" s="5"/>
      <c r="F23" s="85">
        <f>'Server Software Acquisition'!G22</f>
        <v>2500</v>
      </c>
      <c r="G23" s="160">
        <f>'Server Software Acquisition'!J22</f>
        <v>1</v>
      </c>
      <c r="H23" s="31">
        <f t="shared" si="1"/>
        <v>2500</v>
      </c>
      <c r="I23" s="6"/>
    </row>
    <row r="24" spans="1:9" ht="12.75">
      <c r="A24" s="4"/>
      <c r="B24" s="5"/>
      <c r="C24" s="5"/>
      <c r="D24" s="5" t="s">
        <v>82</v>
      </c>
      <c r="E24" s="5"/>
      <c r="F24" s="85">
        <f>'Server Software Acquisition'!G23</f>
        <v>0</v>
      </c>
      <c r="G24" s="160">
        <f>'Server Software Acquisition'!J23</f>
        <v>0</v>
      </c>
      <c r="H24" s="31">
        <f t="shared" si="1"/>
        <v>0</v>
      </c>
      <c r="I24" s="6"/>
    </row>
    <row r="25" spans="1:9" ht="12.75">
      <c r="A25" s="4"/>
      <c r="B25" s="5"/>
      <c r="C25" s="5"/>
      <c r="D25" s="5" t="s">
        <v>173</v>
      </c>
      <c r="E25" s="5"/>
      <c r="F25" s="85">
        <f>'Server Software Acquisition'!G24</f>
        <v>0</v>
      </c>
      <c r="G25" s="160">
        <f>'Server Software Acquisition'!J24</f>
        <v>0</v>
      </c>
      <c r="H25" s="31">
        <f t="shared" si="1"/>
        <v>0</v>
      </c>
      <c r="I25" s="6"/>
    </row>
    <row r="26" spans="1:9" ht="12.75">
      <c r="A26" s="4"/>
      <c r="B26" s="5"/>
      <c r="C26" s="5"/>
      <c r="D26" s="5" t="s">
        <v>180</v>
      </c>
      <c r="E26" s="5"/>
      <c r="F26" s="85">
        <f>'Server Software Acquisition'!G25</f>
        <v>0</v>
      </c>
      <c r="G26" s="160">
        <f>'Server Software Acquisition'!J25</f>
        <v>0</v>
      </c>
      <c r="H26" s="31">
        <f>G26*F26</f>
        <v>0</v>
      </c>
      <c r="I26" s="6"/>
    </row>
    <row r="27" spans="1:9" ht="12.75">
      <c r="A27" s="4"/>
      <c r="B27" s="5"/>
      <c r="C27" s="5"/>
      <c r="D27" s="5" t="s">
        <v>83</v>
      </c>
      <c r="E27" s="5"/>
      <c r="F27" s="85">
        <f>'Server Software Acquisition'!G26</f>
        <v>3500</v>
      </c>
      <c r="G27" s="160">
        <f>'Server Software Acquisition'!J26</f>
        <v>0</v>
      </c>
      <c r="H27" s="31">
        <f t="shared" si="1"/>
        <v>0</v>
      </c>
      <c r="I27" s="6"/>
    </row>
    <row r="28" spans="1:9" ht="12.75">
      <c r="A28" s="4"/>
      <c r="B28" s="5"/>
      <c r="C28" s="5"/>
      <c r="D28" s="5" t="s">
        <v>292</v>
      </c>
      <c r="E28" s="5"/>
      <c r="F28" s="85">
        <f>'Server Software Acquisition'!G27</f>
        <v>23080</v>
      </c>
      <c r="G28" s="160">
        <f>'Server Software Acquisition'!J27</f>
        <v>38.46153846153846</v>
      </c>
      <c r="H28" s="31">
        <f t="shared" si="1"/>
        <v>887692.3076923076</v>
      </c>
      <c r="I28" s="6"/>
    </row>
    <row r="29" spans="1:9" ht="12.75">
      <c r="A29" s="4"/>
      <c r="B29" s="5"/>
      <c r="C29" s="5"/>
      <c r="D29" s="5" t="s">
        <v>84</v>
      </c>
      <c r="E29" s="5"/>
      <c r="F29" s="85">
        <f>'Server Software Acquisition'!G28</f>
        <v>3500</v>
      </c>
      <c r="G29" s="160">
        <f>'Server Software Acquisition'!J28</f>
        <v>1</v>
      </c>
      <c r="H29" s="31">
        <f t="shared" si="1"/>
        <v>3500</v>
      </c>
      <c r="I29" s="6"/>
    </row>
    <row r="30" spans="1:9" ht="13.5" thickBot="1">
      <c r="A30" s="52"/>
      <c r="B30" s="22"/>
      <c r="C30" s="22"/>
      <c r="D30" s="22" t="s">
        <v>25</v>
      </c>
      <c r="E30" s="22"/>
      <c r="F30" s="85">
        <f>'Server Software Acquisition'!G29</f>
        <v>0</v>
      </c>
      <c r="G30" s="160">
        <f>'Server Software Acquisition'!J29</f>
        <v>0</v>
      </c>
      <c r="H30" s="35">
        <f t="shared" si="1"/>
        <v>0</v>
      </c>
      <c r="I30" s="6"/>
    </row>
    <row r="31" spans="1:9" ht="13.5" thickTop="1">
      <c r="A31" s="4"/>
      <c r="B31" s="5" t="s">
        <v>269</v>
      </c>
      <c r="C31" s="5"/>
      <c r="D31" s="5"/>
      <c r="E31" s="5"/>
      <c r="F31" s="31"/>
      <c r="G31" s="5"/>
      <c r="H31" s="31">
        <f>SUM(H22:H30)</f>
        <v>1268692.3076923075</v>
      </c>
      <c r="I31" s="6"/>
    </row>
    <row r="32" spans="1:9" ht="13.5" thickBot="1">
      <c r="A32" s="4"/>
      <c r="B32" s="5"/>
      <c r="C32" s="5"/>
      <c r="D32" s="5"/>
      <c r="E32" s="5"/>
      <c r="F32" s="31"/>
      <c r="G32" s="5"/>
      <c r="H32" s="5"/>
      <c r="I32" s="6"/>
    </row>
    <row r="33" spans="1:9" ht="14.25" thickBot="1" thickTop="1">
      <c r="A33" s="4"/>
      <c r="B33" s="37" t="s">
        <v>85</v>
      </c>
      <c r="C33" s="38"/>
      <c r="D33" s="38"/>
      <c r="E33" s="38"/>
      <c r="F33" s="53"/>
      <c r="G33" s="38"/>
      <c r="H33" s="39">
        <f>SUM(H31,H19,H13)</f>
        <v>1309836.1538461538</v>
      </c>
      <c r="I33" s="6"/>
    </row>
    <row r="34" spans="1:9" ht="13.5" thickTop="1">
      <c r="A34" s="4"/>
      <c r="B34" s="5"/>
      <c r="C34" s="5"/>
      <c r="D34" s="5"/>
      <c r="E34" s="5"/>
      <c r="F34" s="5"/>
      <c r="G34" s="5"/>
      <c r="H34" s="5"/>
      <c r="I34" s="6"/>
    </row>
    <row r="35" spans="1:9" ht="13.5" thickBot="1">
      <c r="A35" s="7"/>
      <c r="B35" s="8"/>
      <c r="C35" s="8"/>
      <c r="D35" s="8"/>
      <c r="E35" s="8"/>
      <c r="F35" s="8"/>
      <c r="G35" s="8"/>
      <c r="H35" s="8"/>
      <c r="I35" s="9"/>
    </row>
    <row r="36" ht="13.5" thickTop="1"/>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60">
      <c r="A43" s="134" t="s">
        <v>249</v>
      </c>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60">
      <c r="A51" s="134"/>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60">
      <c r="A62" s="133"/>
      <c r="B62" s="133"/>
      <c r="C62" s="133"/>
      <c r="D62" s="134"/>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sheetData>
  <sheetProtection password="D023" sheet="1" objects="1" scenarios="1"/>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Calculator&amp;R© The Tolly Group, 1999</oddFooter>
  </headerFooter>
</worksheet>
</file>

<file path=xl/worksheets/sheet47.xml><?xml version="1.0" encoding="utf-8"?>
<worksheet xmlns="http://schemas.openxmlformats.org/spreadsheetml/2006/main" xmlns:r="http://schemas.openxmlformats.org/officeDocument/2006/relationships">
  <sheetPr codeName="Sheet71">
    <pageSetUpPr fitToPage="1"/>
  </sheetPr>
  <dimension ref="A1:O69"/>
  <sheetViews>
    <sheetView workbookViewId="0" topLeftCell="A30">
      <selection activeCell="J23" sqref="J23"/>
    </sheetView>
  </sheetViews>
  <sheetFormatPr defaultColWidth="9.140625" defaultRowHeight="12.75"/>
  <cols>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471</v>
      </c>
      <c r="C3" s="5"/>
      <c r="D3" s="5"/>
      <c r="E3" s="5"/>
      <c r="F3" s="5"/>
      <c r="G3" s="5"/>
      <c r="H3" s="6"/>
    </row>
    <row r="4" spans="1:8" ht="12.75">
      <c r="A4" s="4"/>
      <c r="B4" s="5"/>
      <c r="C4" s="5"/>
      <c r="D4" s="5"/>
      <c r="E4" s="5"/>
      <c r="F4" s="5" t="s">
        <v>50</v>
      </c>
      <c r="G4" s="101" t="s">
        <v>41</v>
      </c>
      <c r="H4" s="6"/>
    </row>
    <row r="5" spans="1:8" ht="12.75">
      <c r="A5" s="4"/>
      <c r="B5" s="5" t="s">
        <v>86</v>
      </c>
      <c r="C5" s="5"/>
      <c r="D5" s="5"/>
      <c r="E5" s="5"/>
      <c r="F5" s="92">
        <f>'Application Integration'!I6</f>
        <v>10</v>
      </c>
      <c r="G5" s="31">
        <f>'Citrix Application Development'!F5/52/40*F5</f>
        <v>495.55288461538464</v>
      </c>
      <c r="H5" s="6"/>
    </row>
    <row r="6" spans="1:8" ht="12.75">
      <c r="A6" s="4"/>
      <c r="B6" s="5" t="s">
        <v>87</v>
      </c>
      <c r="C6" s="5"/>
      <c r="D6" s="5"/>
      <c r="E6" s="5"/>
      <c r="F6" s="92">
        <f>'Application Integration'!I7</f>
        <v>20</v>
      </c>
      <c r="G6" s="31">
        <f>'Citrix Application Development'!F5/52/40*F6</f>
        <v>991.1057692307693</v>
      </c>
      <c r="H6" s="6"/>
    </row>
    <row r="7" spans="1:8" ht="12.75">
      <c r="A7" s="4"/>
      <c r="B7" s="5" t="s">
        <v>88</v>
      </c>
      <c r="C7" s="5"/>
      <c r="D7" s="5"/>
      <c r="E7" s="5"/>
      <c r="F7" s="92">
        <f>'Application Integration'!I8</f>
        <v>10</v>
      </c>
      <c r="G7" s="31">
        <f>'Citrix Application Development'!F5/52/40*F7</f>
        <v>495.55288461538464</v>
      </c>
      <c r="H7" s="6"/>
    </row>
    <row r="8" spans="1:8" ht="13.5" thickBot="1">
      <c r="A8" s="4"/>
      <c r="B8" s="22" t="s">
        <v>89</v>
      </c>
      <c r="C8" s="22"/>
      <c r="D8" s="22"/>
      <c r="E8" s="22"/>
      <c r="F8" s="93">
        <f>'Application Integration'!I9</f>
        <v>8</v>
      </c>
      <c r="G8" s="35">
        <f>'Citrix Application Development'!F5/52/40*F8</f>
        <v>396.44230769230774</v>
      </c>
      <c r="H8" s="6"/>
    </row>
    <row r="9" spans="1:8" ht="13.5" thickTop="1">
      <c r="A9" s="4"/>
      <c r="B9" s="5" t="s">
        <v>269</v>
      </c>
      <c r="C9" s="5"/>
      <c r="D9" s="5"/>
      <c r="E9" s="5"/>
      <c r="F9" s="5"/>
      <c r="G9" s="31">
        <f>SUM(G5:G8)</f>
        <v>2378.653846153846</v>
      </c>
      <c r="H9" s="6"/>
    </row>
    <row r="10" spans="1:8" ht="12.75">
      <c r="A10" s="4"/>
      <c r="B10" s="5"/>
      <c r="C10" s="5"/>
      <c r="D10" s="5"/>
      <c r="E10" s="5"/>
      <c r="F10" s="5"/>
      <c r="G10" s="31"/>
      <c r="H10" s="6"/>
    </row>
    <row r="11" spans="1:8" ht="12.75">
      <c r="A11" s="4"/>
      <c r="B11" s="5" t="s">
        <v>90</v>
      </c>
      <c r="C11" s="5"/>
      <c r="D11" s="5"/>
      <c r="E11" s="5"/>
      <c r="F11" s="5"/>
      <c r="G11" s="31"/>
      <c r="H11" s="6"/>
    </row>
    <row r="12" spans="1:8" ht="12.75">
      <c r="A12" s="4"/>
      <c r="B12" s="5"/>
      <c r="C12" s="5" t="s">
        <v>91</v>
      </c>
      <c r="D12" s="5"/>
      <c r="E12" s="5"/>
      <c r="F12" s="5"/>
      <c r="G12" s="85">
        <v>40</v>
      </c>
      <c r="H12" s="6"/>
    </row>
    <row r="13" spans="1:8" ht="12.75">
      <c r="A13" s="4"/>
      <c r="B13" s="5"/>
      <c r="C13" s="5" t="s">
        <v>92</v>
      </c>
      <c r="D13" s="5"/>
      <c r="E13" s="5"/>
      <c r="F13" s="5"/>
      <c r="G13" s="85">
        <v>150</v>
      </c>
      <c r="H13" s="6"/>
    </row>
    <row r="14" spans="1:8" ht="13.5" thickBot="1">
      <c r="A14" s="4"/>
      <c r="B14" s="22"/>
      <c r="C14" s="22" t="s">
        <v>93</v>
      </c>
      <c r="D14" s="22"/>
      <c r="E14" s="22"/>
      <c r="F14" s="22"/>
      <c r="G14" s="91">
        <v>0</v>
      </c>
      <c r="H14" s="6"/>
    </row>
    <row r="15" spans="1:8" ht="13.5" thickTop="1">
      <c r="A15" s="4"/>
      <c r="B15" s="5"/>
      <c r="C15" s="5"/>
      <c r="D15" s="5"/>
      <c r="E15" s="5"/>
      <c r="F15" s="5"/>
      <c r="G15" s="31">
        <f>SUM(G12:G14)</f>
        <v>190</v>
      </c>
      <c r="H15" s="6"/>
    </row>
    <row r="16" spans="1:8" ht="12.75">
      <c r="A16" s="4"/>
      <c r="B16" s="5"/>
      <c r="C16" s="5"/>
      <c r="D16" s="5"/>
      <c r="E16" s="5"/>
      <c r="F16" s="5"/>
      <c r="G16" s="31"/>
      <c r="H16" s="6"/>
    </row>
    <row r="17" spans="1:8" ht="13.5" thickBot="1">
      <c r="A17" s="4"/>
      <c r="B17" s="5"/>
      <c r="C17" s="5"/>
      <c r="D17" s="5"/>
      <c r="E17" s="5"/>
      <c r="F17" s="5"/>
      <c r="G17" s="31"/>
      <c r="H17" s="6"/>
    </row>
    <row r="18" spans="1:8" ht="14.25" thickBot="1" thickTop="1">
      <c r="A18" s="4"/>
      <c r="B18" s="37" t="s">
        <v>94</v>
      </c>
      <c r="C18" s="38"/>
      <c r="D18" s="38"/>
      <c r="E18" s="38"/>
      <c r="F18" s="38"/>
      <c r="G18" s="39">
        <f>G9+G15</f>
        <v>2568.653846153846</v>
      </c>
      <c r="H18" s="6"/>
    </row>
    <row r="19" spans="1:8" ht="13.5" thickTop="1">
      <c r="A19" s="4"/>
      <c r="B19" s="5"/>
      <c r="C19" s="5"/>
      <c r="D19" s="5"/>
      <c r="E19" s="5"/>
      <c r="F19" s="5"/>
      <c r="G19" s="5"/>
      <c r="H19" s="6"/>
    </row>
    <row r="20" spans="1:8" ht="13.5" thickBot="1">
      <c r="A20" s="7"/>
      <c r="B20" s="8"/>
      <c r="C20" s="8"/>
      <c r="D20" s="8"/>
      <c r="E20" s="8"/>
      <c r="F20" s="8"/>
      <c r="G20" s="8"/>
      <c r="H20" s="9"/>
    </row>
    <row r="21"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48.xml><?xml version="1.0" encoding="utf-8"?>
<worksheet xmlns="http://schemas.openxmlformats.org/spreadsheetml/2006/main" xmlns:r="http://schemas.openxmlformats.org/officeDocument/2006/relationships">
  <sheetPr codeName="Sheet821">
    <pageSetUpPr fitToPage="1"/>
  </sheetPr>
  <dimension ref="A1:O69"/>
  <sheetViews>
    <sheetView workbookViewId="0" topLeftCell="A30">
      <selection activeCell="I20" sqref="I20"/>
    </sheetView>
  </sheetViews>
  <sheetFormatPr defaultColWidth="9.140625" defaultRowHeight="12.75"/>
  <cols>
    <col min="2" max="2" width="10.00390625" style="0" customWidth="1"/>
    <col min="6" max="6" width="14.140625" style="0" customWidth="1"/>
    <col min="7" max="7" width="12.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473</v>
      </c>
      <c r="C3" s="5"/>
      <c r="D3" s="5"/>
      <c r="E3" s="5"/>
      <c r="F3" s="5"/>
      <c r="G3" s="5"/>
      <c r="H3" s="6"/>
    </row>
    <row r="4" spans="1:8" ht="12.75">
      <c r="A4" s="4"/>
      <c r="B4" s="5"/>
      <c r="C4" s="5"/>
      <c r="D4" s="5"/>
      <c r="E4" s="5"/>
      <c r="F4" s="5"/>
      <c r="G4" s="5"/>
      <c r="H4" s="6"/>
    </row>
    <row r="5" spans="1:8" ht="12.75">
      <c r="A5" s="4"/>
      <c r="B5" s="15" t="s">
        <v>474</v>
      </c>
      <c r="C5" s="5"/>
      <c r="D5" s="5"/>
      <c r="E5" s="5"/>
      <c r="F5" s="5" t="s">
        <v>164</v>
      </c>
      <c r="G5" s="143" t="s">
        <v>41</v>
      </c>
      <c r="H5" s="6"/>
    </row>
    <row r="6" spans="1:8" ht="12.75">
      <c r="A6" s="4"/>
      <c r="B6" s="5"/>
      <c r="C6" s="5" t="s">
        <v>181</v>
      </c>
      <c r="D6" s="5"/>
      <c r="E6" s="5"/>
      <c r="F6" s="88">
        <f>'Application Installation'!I7</f>
        <v>0</v>
      </c>
      <c r="G6" s="72">
        <f>'Calculation Sheet'!E11/52/40/60*F6</f>
        <v>0</v>
      </c>
      <c r="H6" s="6"/>
    </row>
    <row r="7" spans="1:8" ht="13.5" thickBot="1">
      <c r="A7" s="4"/>
      <c r="B7" s="22"/>
      <c r="C7" s="22" t="s">
        <v>176</v>
      </c>
      <c r="D7" s="22"/>
      <c r="E7" s="22"/>
      <c r="F7" s="89">
        <f>'Application Installation'!I8</f>
        <v>0</v>
      </c>
      <c r="G7" s="57">
        <f>'Calculation Sheet'!E11/52/40/60*F7</f>
        <v>0</v>
      </c>
      <c r="H7" s="6"/>
    </row>
    <row r="8" spans="1:8" ht="13.5" thickTop="1">
      <c r="A8" s="4"/>
      <c r="B8" s="5" t="s">
        <v>269</v>
      </c>
      <c r="C8" s="5"/>
      <c r="D8" s="5"/>
      <c r="E8" s="5"/>
      <c r="F8" s="5"/>
      <c r="G8" s="31">
        <f>SUM(G6:G7)</f>
        <v>0</v>
      </c>
      <c r="H8" s="6"/>
    </row>
    <row r="9" spans="1:8" ht="12.75">
      <c r="A9" s="4"/>
      <c r="B9" s="5"/>
      <c r="C9" s="5"/>
      <c r="D9" s="5"/>
      <c r="E9" s="5"/>
      <c r="F9" s="5"/>
      <c r="G9" s="31"/>
      <c r="H9" s="6"/>
    </row>
    <row r="10" spans="1:8" ht="12.75">
      <c r="A10" s="4"/>
      <c r="B10" s="15" t="s">
        <v>472</v>
      </c>
      <c r="C10" s="5"/>
      <c r="D10" s="5"/>
      <c r="E10" s="5"/>
      <c r="F10" s="5" t="s">
        <v>50</v>
      </c>
      <c r="G10" s="31"/>
      <c r="H10" s="6"/>
    </row>
    <row r="11" spans="1:8" ht="12.75">
      <c r="A11" s="4"/>
      <c r="B11" s="5"/>
      <c r="C11" s="5" t="s">
        <v>95</v>
      </c>
      <c r="D11" s="5"/>
      <c r="E11" s="5"/>
      <c r="F11" s="88">
        <f>'Application Installation'!I11</f>
        <v>0</v>
      </c>
      <c r="G11" s="73">
        <f>'Calculation Sheet'!E11/52/40*F11</f>
        <v>0</v>
      </c>
      <c r="H11" s="6"/>
    </row>
    <row r="12" spans="1:8" ht="12.75">
      <c r="A12" s="4"/>
      <c r="B12" s="5"/>
      <c r="C12" s="5" t="s">
        <v>96</v>
      </c>
      <c r="D12" s="5"/>
      <c r="E12" s="5"/>
      <c r="F12" s="5"/>
      <c r="G12" s="85">
        <f>'Application Installation'!I14</f>
        <v>0</v>
      </c>
      <c r="H12" s="6"/>
    </row>
    <row r="13" spans="1:8" ht="13.5" thickBot="1">
      <c r="A13" s="4"/>
      <c r="B13" s="22"/>
      <c r="C13" s="22" t="s">
        <v>97</v>
      </c>
      <c r="D13" s="22"/>
      <c r="E13" s="22"/>
      <c r="F13" s="161">
        <f>'Application Installation'!I12</f>
        <v>0</v>
      </c>
      <c r="G13" s="57">
        <f>'Calculation Sheet'!E11/52/40*F13</f>
        <v>0</v>
      </c>
      <c r="H13" s="6"/>
    </row>
    <row r="14" spans="1:8" ht="13.5" thickTop="1">
      <c r="A14" s="4"/>
      <c r="B14" s="5"/>
      <c r="C14" s="5"/>
      <c r="D14" s="5"/>
      <c r="E14" s="5"/>
      <c r="F14" s="5"/>
      <c r="G14" s="31">
        <f>SUM(G11:G13)</f>
        <v>0</v>
      </c>
      <c r="H14" s="6"/>
    </row>
    <row r="15" spans="1:8" ht="12.75">
      <c r="A15" s="4"/>
      <c r="B15" s="5"/>
      <c r="C15" s="5"/>
      <c r="D15" s="5"/>
      <c r="E15" s="5"/>
      <c r="F15" s="5"/>
      <c r="G15" s="31"/>
      <c r="H15" s="6"/>
    </row>
    <row r="16" spans="1:8" ht="13.5" thickBot="1">
      <c r="A16" s="4"/>
      <c r="B16" s="5"/>
      <c r="C16" s="5"/>
      <c r="D16" s="5"/>
      <c r="E16" s="5"/>
      <c r="F16" s="5"/>
      <c r="G16" s="31"/>
      <c r="H16" s="6"/>
    </row>
    <row r="17" spans="1:8" ht="14.25" thickBot="1" thickTop="1">
      <c r="A17" s="4"/>
      <c r="B17" s="37" t="s">
        <v>98</v>
      </c>
      <c r="C17" s="38"/>
      <c r="D17" s="38"/>
      <c r="E17" s="38"/>
      <c r="F17" s="38"/>
      <c r="G17" s="150">
        <v>0</v>
      </c>
      <c r="H17" s="6"/>
    </row>
    <row r="18" spans="1:8" ht="13.5" thickTop="1">
      <c r="A18" s="4"/>
      <c r="B18" s="5"/>
      <c r="C18" s="5"/>
      <c r="D18" s="5"/>
      <c r="E18" s="5"/>
      <c r="F18" s="5"/>
      <c r="G18" s="187"/>
      <c r="H18" s="6"/>
    </row>
    <row r="19" spans="1:8" ht="13.5" thickBot="1">
      <c r="A19" s="7"/>
      <c r="B19" s="8"/>
      <c r="C19" s="8"/>
      <c r="D19" s="8"/>
      <c r="E19" s="8"/>
      <c r="F19" s="8"/>
      <c r="G19" s="8"/>
      <c r="H19" s="9"/>
    </row>
    <row r="20"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99" r:id="rId1"/>
  <headerFooter alignWithMargins="0">
    <oddHeader>&amp;CTotal Cost of Application Ownership (TCA) Calculator</oddHeader>
    <oddFooter>&amp;LThe Tolly Group TCA Calculator&amp;R© The Tolly Group, 1999</oddFooter>
  </headerFooter>
</worksheet>
</file>

<file path=xl/worksheets/sheet49.xml><?xml version="1.0" encoding="utf-8"?>
<worksheet xmlns="http://schemas.openxmlformats.org/spreadsheetml/2006/main" xmlns:r="http://schemas.openxmlformats.org/officeDocument/2006/relationships">
  <sheetPr codeName="Sheet931">
    <pageSetUpPr fitToPage="1"/>
  </sheetPr>
  <dimension ref="A1:O86"/>
  <sheetViews>
    <sheetView workbookViewId="0" topLeftCell="A47">
      <selection activeCell="E38" sqref="E38"/>
    </sheetView>
  </sheetViews>
  <sheetFormatPr defaultColWidth="9.140625" defaultRowHeight="12.75"/>
  <cols>
    <col min="2" max="2" width="10.00390625" style="0" customWidth="1"/>
    <col min="4" max="4" width="17.57421875" style="0" customWidth="1"/>
    <col min="5" max="5" width="13.421875" style="0" customWidth="1"/>
    <col min="6" max="6" width="17.00390625" style="0" customWidth="1"/>
    <col min="7" max="7" width="14.281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475</v>
      </c>
      <c r="C3" s="5"/>
      <c r="D3" s="5"/>
      <c r="E3" s="5"/>
      <c r="F3" s="5"/>
      <c r="G3" s="5"/>
      <c r="H3" s="6"/>
    </row>
    <row r="4" spans="1:8" ht="12.75">
      <c r="A4" s="4"/>
      <c r="B4" s="5"/>
      <c r="C4" s="5"/>
      <c r="D4" s="5"/>
      <c r="E4" s="5"/>
      <c r="F4" s="5"/>
      <c r="G4" s="5"/>
      <c r="H4" s="6"/>
    </row>
    <row r="5" spans="1:8" ht="12.75">
      <c r="A5" s="4"/>
      <c r="B5" s="15" t="s">
        <v>476</v>
      </c>
      <c r="C5" s="5"/>
      <c r="D5" s="5"/>
      <c r="E5" s="5" t="s">
        <v>172</v>
      </c>
      <c r="F5" s="5" t="s">
        <v>177</v>
      </c>
      <c r="G5" s="143" t="s">
        <v>41</v>
      </c>
      <c r="H5" s="6"/>
    </row>
    <row r="6" spans="1:8" ht="12.75">
      <c r="A6" s="4"/>
      <c r="B6" s="5"/>
      <c r="C6" s="76" t="s">
        <v>27</v>
      </c>
      <c r="D6" s="5"/>
      <c r="E6" s="136">
        <f>'Application Training'!F8</f>
        <v>1</v>
      </c>
      <c r="F6" s="189">
        <f>'Application Training'!H8</f>
        <v>1500</v>
      </c>
      <c r="G6" s="72">
        <f>F6*E6</f>
        <v>1500</v>
      </c>
      <c r="H6" s="6"/>
    </row>
    <row r="7" spans="1:8" ht="12.75">
      <c r="A7" s="4"/>
      <c r="B7" s="5"/>
      <c r="C7" s="76" t="s">
        <v>28</v>
      </c>
      <c r="D7" s="5"/>
      <c r="E7" s="136">
        <f>'Application Training'!F9</f>
        <v>10</v>
      </c>
      <c r="F7" s="189">
        <f>'Application Training'!H9</f>
        <v>1500</v>
      </c>
      <c r="G7" s="72">
        <f aca="true" t="shared" si="0" ref="G7:G19">F7*E7</f>
        <v>15000</v>
      </c>
      <c r="H7" s="6"/>
    </row>
    <row r="8" spans="1:8" ht="12.75">
      <c r="A8" s="4"/>
      <c r="B8" s="5"/>
      <c r="C8" s="76" t="s">
        <v>29</v>
      </c>
      <c r="D8" s="5"/>
      <c r="E8" s="136">
        <f>'Application Training'!F10</f>
        <v>1</v>
      </c>
      <c r="F8" s="189">
        <f>'Application Training'!H10</f>
        <v>1500</v>
      </c>
      <c r="G8" s="72">
        <f t="shared" si="0"/>
        <v>1500</v>
      </c>
      <c r="H8" s="6"/>
    </row>
    <row r="9" spans="1:8" ht="12.75">
      <c r="A9" s="4"/>
      <c r="B9" s="5"/>
      <c r="C9" s="77" t="s">
        <v>30</v>
      </c>
      <c r="D9" s="5"/>
      <c r="E9" s="136">
        <f>'Application Training'!F11</f>
        <v>0</v>
      </c>
      <c r="F9" s="189">
        <f>'Application Training'!H11</f>
        <v>1500</v>
      </c>
      <c r="G9" s="72">
        <f t="shared" si="0"/>
        <v>0</v>
      </c>
      <c r="H9" s="6"/>
    </row>
    <row r="10" spans="1:8" ht="12.75">
      <c r="A10" s="4"/>
      <c r="B10" s="5"/>
      <c r="C10" s="76" t="s">
        <v>31</v>
      </c>
      <c r="D10" s="5"/>
      <c r="E10" s="136">
        <f>'Application Training'!F12</f>
        <v>5</v>
      </c>
      <c r="F10" s="189">
        <f>'Application Training'!H12</f>
        <v>1500</v>
      </c>
      <c r="G10" s="72">
        <f t="shared" si="0"/>
        <v>7500</v>
      </c>
      <c r="H10" s="6"/>
    </row>
    <row r="11" spans="1:8" ht="12.75">
      <c r="A11" s="4"/>
      <c r="B11" s="5"/>
      <c r="C11" s="76" t="s">
        <v>32</v>
      </c>
      <c r="D11" s="5"/>
      <c r="E11" s="136">
        <f>'Application Training'!F13</f>
        <v>0</v>
      </c>
      <c r="F11" s="189">
        <f>'Application Training'!H13</f>
        <v>1500</v>
      </c>
      <c r="G11" s="72">
        <f t="shared" si="0"/>
        <v>0</v>
      </c>
      <c r="H11" s="6"/>
    </row>
    <row r="12" spans="1:8" ht="12.75">
      <c r="A12" s="4"/>
      <c r="B12" s="5"/>
      <c r="C12" s="76" t="s">
        <v>33</v>
      </c>
      <c r="D12" s="5"/>
      <c r="E12" s="136">
        <f>'Application Training'!F14</f>
        <v>5</v>
      </c>
      <c r="F12" s="189">
        <f>'Application Training'!H14</f>
        <v>1500</v>
      </c>
      <c r="G12" s="72">
        <f t="shared" si="0"/>
        <v>7500</v>
      </c>
      <c r="H12" s="6"/>
    </row>
    <row r="13" spans="1:8" ht="12.75">
      <c r="A13" s="4"/>
      <c r="B13" s="5"/>
      <c r="C13" s="76" t="s">
        <v>289</v>
      </c>
      <c r="D13" s="5"/>
      <c r="E13" s="136">
        <f>'Application Training'!F15</f>
        <v>25</v>
      </c>
      <c r="F13" s="189">
        <f>'Application Training'!H15</f>
        <v>1500</v>
      </c>
      <c r="G13" s="72">
        <f t="shared" si="0"/>
        <v>37500</v>
      </c>
      <c r="H13" s="6"/>
    </row>
    <row r="14" spans="1:8" ht="12.75">
      <c r="A14" s="4"/>
      <c r="B14" s="5"/>
      <c r="C14" s="76" t="s">
        <v>290</v>
      </c>
      <c r="D14" s="5"/>
      <c r="E14" s="136">
        <f>'Application Training'!F16</f>
        <v>1</v>
      </c>
      <c r="F14" s="189">
        <f>'Application Training'!H16</f>
        <v>1500</v>
      </c>
      <c r="G14" s="72">
        <f t="shared" si="0"/>
        <v>1500</v>
      </c>
      <c r="H14" s="6"/>
    </row>
    <row r="15" spans="1:8" ht="12.75">
      <c r="A15" s="4"/>
      <c r="B15" s="5"/>
      <c r="C15" s="76" t="s">
        <v>293</v>
      </c>
      <c r="D15" s="5"/>
      <c r="E15" s="136">
        <f>'Application Training'!F17</f>
        <v>0</v>
      </c>
      <c r="F15" s="189">
        <f>'Application Training'!H17</f>
        <v>1500</v>
      </c>
      <c r="G15" s="72">
        <f t="shared" si="0"/>
        <v>0</v>
      </c>
      <c r="H15" s="6"/>
    </row>
    <row r="16" spans="1:8" ht="12.75">
      <c r="A16" s="4"/>
      <c r="B16" s="5"/>
      <c r="C16" s="76" t="s">
        <v>34</v>
      </c>
      <c r="D16" s="5"/>
      <c r="E16" s="136">
        <f>'Application Training'!F18</f>
        <v>1</v>
      </c>
      <c r="F16" s="189">
        <f>'Application Training'!H18</f>
        <v>1500</v>
      </c>
      <c r="G16" s="72">
        <f t="shared" si="0"/>
        <v>1500</v>
      </c>
      <c r="H16" s="6"/>
    </row>
    <row r="17" spans="1:8" ht="12.75">
      <c r="A17" s="4"/>
      <c r="B17" s="5"/>
      <c r="C17" s="5" t="s">
        <v>48</v>
      </c>
      <c r="D17" s="5"/>
      <c r="E17" s="136">
        <f>'Application Training'!F19</f>
        <v>1625</v>
      </c>
      <c r="F17" s="189">
        <f>'Application Training'!H19</f>
        <v>1200</v>
      </c>
      <c r="G17" s="72">
        <f t="shared" si="0"/>
        <v>1950000</v>
      </c>
      <c r="H17" s="6"/>
    </row>
    <row r="18" spans="1:8" ht="12.75">
      <c r="A18" s="4"/>
      <c r="B18" s="5"/>
      <c r="C18" s="5" t="s">
        <v>270</v>
      </c>
      <c r="D18" s="5"/>
      <c r="E18" s="136">
        <f>'Application Training'!F20</f>
        <v>625</v>
      </c>
      <c r="F18" s="189">
        <f>'Application Training'!H20</f>
        <v>800</v>
      </c>
      <c r="G18" s="72">
        <f t="shared" si="0"/>
        <v>500000</v>
      </c>
      <c r="H18" s="6"/>
    </row>
    <row r="19" spans="1:8" ht="13.5" thickBot="1">
      <c r="A19" s="4"/>
      <c r="B19" s="22"/>
      <c r="C19" s="22" t="s">
        <v>49</v>
      </c>
      <c r="D19" s="22"/>
      <c r="E19" s="137">
        <f>'Application Training'!F21</f>
        <v>250</v>
      </c>
      <c r="F19" s="188">
        <f>'Application Training'!H21</f>
        <v>500</v>
      </c>
      <c r="G19" s="57">
        <f t="shared" si="0"/>
        <v>125000</v>
      </c>
      <c r="H19" s="6"/>
    </row>
    <row r="20" spans="1:8" ht="13.5" thickTop="1">
      <c r="A20" s="4"/>
      <c r="B20" s="5" t="s">
        <v>269</v>
      </c>
      <c r="C20" s="5"/>
      <c r="D20" s="5"/>
      <c r="E20" s="5"/>
      <c r="F20" s="5"/>
      <c r="G20" s="31">
        <f>SUM(G6:G19)</f>
        <v>2648500</v>
      </c>
      <c r="H20" s="6"/>
    </row>
    <row r="21" spans="1:8" ht="12.75">
      <c r="A21" s="4"/>
      <c r="B21" s="5"/>
      <c r="C21" s="5"/>
      <c r="D21" s="5"/>
      <c r="E21" s="5"/>
      <c r="F21" s="5"/>
      <c r="G21" s="31"/>
      <c r="H21" s="6"/>
    </row>
    <row r="22" spans="1:8" ht="12.75">
      <c r="A22" s="4"/>
      <c r="B22" s="15" t="s">
        <v>477</v>
      </c>
      <c r="C22" s="5"/>
      <c r="D22" s="5"/>
      <c r="E22" s="5"/>
      <c r="F22" s="5"/>
      <c r="G22" s="31"/>
      <c r="H22" s="6"/>
    </row>
    <row r="23" spans="1:8" ht="12.75">
      <c r="A23" s="4"/>
      <c r="B23" s="5"/>
      <c r="C23" s="5"/>
      <c r="D23" s="5"/>
      <c r="E23" s="5" t="s">
        <v>172</v>
      </c>
      <c r="F23" s="5" t="s">
        <v>178</v>
      </c>
      <c r="G23" s="31"/>
      <c r="H23" s="6"/>
    </row>
    <row r="24" spans="1:8" ht="12.75">
      <c r="A24" s="4"/>
      <c r="B24" s="76" t="s">
        <v>27</v>
      </c>
      <c r="C24" s="5"/>
      <c r="D24" s="5"/>
      <c r="E24" s="138">
        <f>'Fat-Application Training'!E24</f>
        <v>1</v>
      </c>
      <c r="F24" s="103">
        <f>'Fat-Application Training'!F24</f>
        <v>35</v>
      </c>
      <c r="G24" s="20">
        <f>F24*'FatClient Base Data'!G10*E24</f>
        <v>1406.7307692307693</v>
      </c>
      <c r="H24" s="6"/>
    </row>
    <row r="25" spans="1:8" ht="12.75">
      <c r="A25" s="4"/>
      <c r="B25" s="76" t="s">
        <v>28</v>
      </c>
      <c r="C25" s="5"/>
      <c r="D25" s="5"/>
      <c r="E25" s="138">
        <f>'Fat-Application Training'!E25</f>
        <v>10</v>
      </c>
      <c r="F25" s="103">
        <f>'Fat-Application Training'!F25</f>
        <v>35</v>
      </c>
      <c r="G25" s="20">
        <f>F25*'FatClient Base Data'!G11*E25</f>
        <v>11509.615384615387</v>
      </c>
      <c r="H25" s="6"/>
    </row>
    <row r="26" spans="1:8" ht="12.75">
      <c r="A26" s="4"/>
      <c r="B26" s="76" t="s">
        <v>29</v>
      </c>
      <c r="C26" s="5"/>
      <c r="D26" s="5"/>
      <c r="E26" s="138">
        <f>'Fat-Application Training'!E26</f>
        <v>1</v>
      </c>
      <c r="F26" s="103">
        <f>'Fat-Application Training'!F26</f>
        <v>35</v>
      </c>
      <c r="G26" s="20">
        <f>F26*'FatClient Base Data'!G12*E26</f>
        <v>1662.5</v>
      </c>
      <c r="H26" s="6"/>
    </row>
    <row r="27" spans="1:8" ht="12.75">
      <c r="A27" s="4"/>
      <c r="B27" s="77" t="s">
        <v>30</v>
      </c>
      <c r="C27" s="5"/>
      <c r="D27" s="5"/>
      <c r="E27" s="138">
        <f>'Fat-Application Training'!E27</f>
        <v>0</v>
      </c>
      <c r="F27" s="103">
        <f>'Fat-Application Training'!F27</f>
        <v>35</v>
      </c>
      <c r="G27" s="20">
        <f>F27*'FatClient Base Data'!G13*E27</f>
        <v>0</v>
      </c>
      <c r="H27" s="6"/>
    </row>
    <row r="28" spans="1:8" ht="12.75">
      <c r="A28" s="4"/>
      <c r="B28" s="76" t="s">
        <v>31</v>
      </c>
      <c r="C28" s="5"/>
      <c r="D28" s="5"/>
      <c r="E28" s="138">
        <f>'Fat-Application Training'!E28</f>
        <v>5</v>
      </c>
      <c r="F28" s="103">
        <f>'Fat-Application Training'!F28</f>
        <v>35</v>
      </c>
      <c r="G28" s="20">
        <f>F28*'FatClient Base Data'!G14*E28</f>
        <v>8312.5</v>
      </c>
      <c r="H28" s="6"/>
    </row>
    <row r="29" spans="1:8" ht="12.75">
      <c r="A29" s="4"/>
      <c r="B29" s="76" t="s">
        <v>32</v>
      </c>
      <c r="C29" s="5"/>
      <c r="D29" s="5"/>
      <c r="E29" s="138">
        <f>'Fat-Application Training'!E29</f>
        <v>0</v>
      </c>
      <c r="F29" s="103">
        <f>'Fat-Application Training'!F29</f>
        <v>35</v>
      </c>
      <c r="G29" s="20">
        <f>F29*'FatClient Base Data'!G15*E29</f>
        <v>0</v>
      </c>
      <c r="H29" s="6"/>
    </row>
    <row r="30" spans="1:8" ht="12.75">
      <c r="A30" s="4"/>
      <c r="B30" s="76" t="s">
        <v>33</v>
      </c>
      <c r="C30" s="5"/>
      <c r="D30" s="5"/>
      <c r="E30" s="138">
        <f>'Fat-Application Training'!E30</f>
        <v>5</v>
      </c>
      <c r="F30" s="103">
        <f>'Fat-Application Training'!F30</f>
        <v>35</v>
      </c>
      <c r="G30" s="20">
        <f>F30*'FatClient Base Data'!G16*E30</f>
        <v>8760.096153846154</v>
      </c>
      <c r="H30" s="6"/>
    </row>
    <row r="31" spans="1:8" ht="12.75">
      <c r="A31" s="4"/>
      <c r="B31" s="76" t="s">
        <v>289</v>
      </c>
      <c r="C31" s="5"/>
      <c r="D31" s="5"/>
      <c r="E31" s="138">
        <f>'Fat-Application Training'!E31</f>
        <v>25</v>
      </c>
      <c r="F31" s="103">
        <f>'Fat-Application Training'!F31</f>
        <v>35</v>
      </c>
      <c r="G31" s="20">
        <f>F31*'FatClient Base Data'!G17*E31</f>
        <v>33250</v>
      </c>
      <c r="H31" s="6"/>
    </row>
    <row r="32" spans="1:8" ht="12.75">
      <c r="A32" s="4"/>
      <c r="B32" s="76" t="s">
        <v>290</v>
      </c>
      <c r="C32" s="5"/>
      <c r="D32" s="5"/>
      <c r="E32" s="138">
        <f>'Fat-Application Training'!E32</f>
        <v>1</v>
      </c>
      <c r="F32" s="103">
        <f>'Fat-Application Training'!F32</f>
        <v>35</v>
      </c>
      <c r="G32" s="20">
        <f>F32*'FatClient Base Data'!G18*E32</f>
        <v>1918.2692307692307</v>
      </c>
      <c r="H32" s="6"/>
    </row>
    <row r="33" spans="1:8" ht="12.75">
      <c r="A33" s="4"/>
      <c r="B33" s="76" t="s">
        <v>293</v>
      </c>
      <c r="C33" s="5"/>
      <c r="D33" s="5"/>
      <c r="E33" s="138">
        <f>'Fat-Application Training'!E33</f>
        <v>0</v>
      </c>
      <c r="F33" s="103">
        <f>'Fat-Application Training'!F33</f>
        <v>35</v>
      </c>
      <c r="G33" s="20">
        <f>F33*'FatClient Base Data'!G19*E33</f>
        <v>0</v>
      </c>
      <c r="H33" s="6"/>
    </row>
    <row r="34" spans="1:8" ht="12.75">
      <c r="A34" s="4"/>
      <c r="B34" s="76" t="s">
        <v>34</v>
      </c>
      <c r="C34" s="5"/>
      <c r="D34" s="5"/>
      <c r="E34" s="138">
        <f>'Fat-Application Training'!E34</f>
        <v>1</v>
      </c>
      <c r="F34" s="103">
        <f>'Fat-Application Training'!F34</f>
        <v>35</v>
      </c>
      <c r="G34" s="20">
        <f>F34*'FatClient Base Data'!G20*E34</f>
        <v>1112.5961538461538</v>
      </c>
      <c r="H34" s="6"/>
    </row>
    <row r="35" spans="1:8" ht="12.75">
      <c r="A35" s="4"/>
      <c r="B35" s="5" t="s">
        <v>48</v>
      </c>
      <c r="C35" s="5"/>
      <c r="D35" s="5"/>
      <c r="E35" s="136">
        <f>0.65*'Front End'!G3</f>
        <v>1625</v>
      </c>
      <c r="F35" s="103">
        <f>'Fat-Application Training'!F35</f>
        <v>20</v>
      </c>
      <c r="G35" s="20">
        <f>F35*'FatClient Base Data'!G25*E35</f>
        <v>950000</v>
      </c>
      <c r="H35" s="6"/>
    </row>
    <row r="36" spans="1:8" ht="12.75">
      <c r="A36" s="4"/>
      <c r="B36" s="5" t="s">
        <v>270</v>
      </c>
      <c r="C36" s="5"/>
      <c r="D36" s="5"/>
      <c r="E36" s="136">
        <f>0.25*'Front End'!G3</f>
        <v>625</v>
      </c>
      <c r="F36" s="103">
        <f>'Fat-Application Training'!F36</f>
        <v>8</v>
      </c>
      <c r="G36" s="20">
        <f>F36*'FatClient Base Data'!G26*E36</f>
        <v>292307.6923076923</v>
      </c>
      <c r="H36" s="6"/>
    </row>
    <row r="37" spans="1:8" ht="13.5" thickBot="1">
      <c r="A37" s="4"/>
      <c r="B37" s="22" t="s">
        <v>49</v>
      </c>
      <c r="C37" s="22"/>
      <c r="D37" s="22"/>
      <c r="E37" s="137">
        <f>0.1*'Front End'!G3</f>
        <v>250</v>
      </c>
      <c r="F37" s="103">
        <f>'Fat-Application Training'!F37</f>
        <v>2</v>
      </c>
      <c r="G37" s="79">
        <f>F37*'FatClient Base Data'!G27*E37</f>
        <v>54807.692307692305</v>
      </c>
      <c r="H37" s="6"/>
    </row>
    <row r="38" spans="1:8" ht="13.5" thickTop="1">
      <c r="A38" s="4"/>
      <c r="B38" s="76" t="s">
        <v>269</v>
      </c>
      <c r="C38" s="5"/>
      <c r="D38" s="5"/>
      <c r="E38" s="5"/>
      <c r="F38" s="5"/>
      <c r="G38" s="31">
        <f>SUM(G24:G37)</f>
        <v>1365047.6923076923</v>
      </c>
      <c r="H38" s="6"/>
    </row>
    <row r="39" spans="1:8" ht="13.5" thickBot="1">
      <c r="A39" s="4"/>
      <c r="B39" s="5"/>
      <c r="C39" s="5"/>
      <c r="D39" s="5"/>
      <c r="E39" s="5"/>
      <c r="F39" s="5"/>
      <c r="G39" s="31"/>
      <c r="H39" s="6"/>
    </row>
    <row r="40" spans="1:8" ht="14.25" thickBot="1" thickTop="1">
      <c r="A40" s="4"/>
      <c r="B40" s="37" t="s">
        <v>94</v>
      </c>
      <c r="C40" s="38"/>
      <c r="D40" s="38"/>
      <c r="E40" s="38"/>
      <c r="F40" s="38"/>
      <c r="G40" s="39">
        <f>SUM(G38,G20)</f>
        <v>4013547.692307692</v>
      </c>
      <c r="H40" s="6"/>
    </row>
    <row r="41" spans="1:8" ht="13.5" thickTop="1">
      <c r="A41" s="4"/>
      <c r="B41" s="5"/>
      <c r="C41" s="5"/>
      <c r="D41" s="5"/>
      <c r="E41" s="5"/>
      <c r="F41" s="5"/>
      <c r="G41" s="31"/>
      <c r="H41" s="6"/>
    </row>
    <row r="42" spans="1:8" ht="13.5" thickBot="1">
      <c r="A42" s="7"/>
      <c r="B42" s="8"/>
      <c r="C42" s="8"/>
      <c r="D42" s="8"/>
      <c r="E42" s="8"/>
      <c r="F42" s="8"/>
      <c r="G42" s="8"/>
      <c r="H42" s="9"/>
    </row>
    <row r="43" ht="13.5" thickTop="1"/>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60">
      <c r="A50" s="134" t="s">
        <v>249</v>
      </c>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60">
      <c r="A58" s="134"/>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60">
      <c r="A69" s="133"/>
      <c r="B69" s="133"/>
      <c r="C69" s="133"/>
      <c r="D69" s="134"/>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sheetData>
  <sheetProtection password="D023" sheet="1" objects="1" scenarios="1"/>
  <printOptions/>
  <pageMargins left="0.75" right="0.75" top="1" bottom="1" header="0.5" footer="0.5"/>
  <pageSetup fitToHeight="1" fitToWidth="1" horizontalDpi="600" verticalDpi="600" orientation="portrait" scale="91" r:id="rId1"/>
  <headerFooter alignWithMargins="0">
    <oddHeader>&amp;CTotal Cost of Application Ownership (TCA) Calculator</oddHeader>
    <oddFooter>&amp;LThe Tolly Group TCA Calculator&amp;R© The Tolly Group, 1999</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A1:O34"/>
  <sheetViews>
    <sheetView showRowColHeaders="0" workbookViewId="0" topLeftCell="A1">
      <selection activeCell="A1" sqref="A1"/>
    </sheetView>
  </sheetViews>
  <sheetFormatPr defaultColWidth="9.140625" defaultRowHeight="12.75"/>
  <cols>
    <col min="3" max="3" width="9.57421875" style="0" customWidth="1"/>
    <col min="5" max="5" width="9.57421875" style="0" customWidth="1"/>
    <col min="6" max="6" width="15.140625" style="0" customWidth="1"/>
    <col min="7" max="7" width="13.140625" style="0" customWidth="1"/>
  </cols>
  <sheetData>
    <row r="1" spans="1:15" ht="13.5" thickBot="1">
      <c r="A1" s="301"/>
      <c r="B1" s="301"/>
      <c r="C1" s="301"/>
      <c r="D1" s="301"/>
      <c r="E1" s="301"/>
      <c r="F1" s="301"/>
      <c r="G1" s="301"/>
      <c r="H1" s="301"/>
      <c r="I1" s="301"/>
      <c r="J1" s="301"/>
      <c r="K1" s="301"/>
      <c r="L1" s="301"/>
      <c r="M1" s="301"/>
      <c r="N1" s="301"/>
      <c r="O1" s="301"/>
    </row>
    <row r="2" spans="1:15" ht="15.75" thickTop="1">
      <c r="A2" s="301"/>
      <c r="B2" s="34" t="s">
        <v>192</v>
      </c>
      <c r="C2" s="3"/>
      <c r="D2" s="3"/>
      <c r="E2" s="3"/>
      <c r="F2" s="3"/>
      <c r="G2" s="3"/>
      <c r="H2" s="3"/>
      <c r="I2" s="3"/>
      <c r="J2" s="3"/>
      <c r="K2" s="13"/>
      <c r="L2" s="301"/>
      <c r="M2" s="301"/>
      <c r="N2" s="301"/>
      <c r="O2" s="301"/>
    </row>
    <row r="3" spans="1:15" ht="12.75">
      <c r="A3" s="301"/>
      <c r="B3" s="4"/>
      <c r="C3" s="5"/>
      <c r="D3" s="5"/>
      <c r="E3" s="5"/>
      <c r="F3" s="5"/>
      <c r="G3" s="5"/>
      <c r="H3" s="5"/>
      <c r="I3" s="5"/>
      <c r="J3" s="5"/>
      <c r="K3" s="6"/>
      <c r="L3" s="301"/>
      <c r="M3" s="301"/>
      <c r="N3" s="301"/>
      <c r="O3" s="301"/>
    </row>
    <row r="4" spans="1:15" ht="15.75">
      <c r="A4" s="301"/>
      <c r="B4" s="14"/>
      <c r="C4" s="30" t="s">
        <v>613</v>
      </c>
      <c r="D4" s="5"/>
      <c r="E4" s="5"/>
      <c r="F4" s="5"/>
      <c r="G4" s="5"/>
      <c r="H4" s="5"/>
      <c r="I4" s="5"/>
      <c r="J4" s="5"/>
      <c r="K4" s="6"/>
      <c r="L4" s="301"/>
      <c r="M4" s="301"/>
      <c r="N4" s="301"/>
      <c r="O4" s="301"/>
    </row>
    <row r="5" spans="1:15" ht="12.75">
      <c r="A5" s="301"/>
      <c r="B5" s="4"/>
      <c r="C5" s="5"/>
      <c r="D5" s="5"/>
      <c r="E5" s="5"/>
      <c r="F5" s="5"/>
      <c r="G5" s="5"/>
      <c r="H5" s="51" t="s">
        <v>1</v>
      </c>
      <c r="I5" s="51"/>
      <c r="J5" s="51"/>
      <c r="K5" s="6"/>
      <c r="L5" s="301"/>
      <c r="M5" s="301"/>
      <c r="N5" s="301"/>
      <c r="O5" s="301"/>
    </row>
    <row r="6" spans="1:15" ht="15.75">
      <c r="A6" s="301"/>
      <c r="B6" s="14"/>
      <c r="C6" s="30" t="s">
        <v>614</v>
      </c>
      <c r="D6" s="5"/>
      <c r="E6" s="5"/>
      <c r="F6" s="5"/>
      <c r="G6" s="31"/>
      <c r="H6" s="352" t="s">
        <v>213</v>
      </c>
      <c r="I6" s="352"/>
      <c r="J6" s="352"/>
      <c r="K6" s="6"/>
      <c r="L6" s="301"/>
      <c r="M6" s="301"/>
      <c r="N6" s="301"/>
      <c r="O6" s="301"/>
    </row>
    <row r="7" spans="1:15" ht="38.25">
      <c r="A7" s="301"/>
      <c r="B7" s="4"/>
      <c r="C7" s="5"/>
      <c r="D7" s="15" t="s">
        <v>542</v>
      </c>
      <c r="E7" s="5"/>
      <c r="F7" s="5"/>
      <c r="G7" s="139" t="s">
        <v>264</v>
      </c>
      <c r="H7" s="308" t="s">
        <v>534</v>
      </c>
      <c r="I7" s="309" t="s">
        <v>533</v>
      </c>
      <c r="J7" s="310" t="s">
        <v>535</v>
      </c>
      <c r="K7" s="6"/>
      <c r="L7" s="301"/>
      <c r="M7" s="301"/>
      <c r="N7" s="301"/>
      <c r="O7" s="301"/>
    </row>
    <row r="8" spans="1:15" ht="12.75">
      <c r="A8" s="301"/>
      <c r="B8" s="4"/>
      <c r="C8" s="5"/>
      <c r="D8" s="5"/>
      <c r="E8" s="5" t="s">
        <v>62</v>
      </c>
      <c r="F8" s="5"/>
      <c r="G8" s="282">
        <v>189</v>
      </c>
      <c r="H8" s="273">
        <f>'Front End'!G3</f>
        <v>2500</v>
      </c>
      <c r="I8" s="275">
        <f>'Front End'!G3</f>
        <v>2500</v>
      </c>
      <c r="J8" s="279">
        <v>0</v>
      </c>
      <c r="K8" s="6"/>
      <c r="L8" s="301"/>
      <c r="M8" s="301"/>
      <c r="N8" s="301"/>
      <c r="O8" s="301"/>
    </row>
    <row r="9" spans="1:15" ht="12.75">
      <c r="A9" s="301"/>
      <c r="B9" s="4"/>
      <c r="C9" s="5"/>
      <c r="D9" s="5"/>
      <c r="E9" s="5" t="s">
        <v>63</v>
      </c>
      <c r="F9" s="5"/>
      <c r="G9" s="282">
        <v>98</v>
      </c>
      <c r="H9" s="274">
        <v>0</v>
      </c>
      <c r="I9" s="276">
        <v>0</v>
      </c>
      <c r="J9" s="280">
        <v>0</v>
      </c>
      <c r="K9" s="6"/>
      <c r="L9" s="301"/>
      <c r="M9" s="301"/>
      <c r="N9" s="301"/>
      <c r="O9" s="301"/>
    </row>
    <row r="10" spans="1:15" ht="12.75">
      <c r="A10" s="301"/>
      <c r="B10" s="4"/>
      <c r="C10" s="5"/>
      <c r="D10" s="5"/>
      <c r="E10" s="5" t="s">
        <v>64</v>
      </c>
      <c r="F10" s="5"/>
      <c r="G10" s="282">
        <v>0</v>
      </c>
      <c r="H10" s="274">
        <v>0</v>
      </c>
      <c r="I10" s="276">
        <v>0</v>
      </c>
      <c r="J10" s="280">
        <v>0</v>
      </c>
      <c r="K10" s="6"/>
      <c r="L10" s="301"/>
      <c r="M10" s="301"/>
      <c r="N10" s="301"/>
      <c r="O10" s="301"/>
    </row>
    <row r="11" spans="1:15" ht="12.75">
      <c r="A11" s="301"/>
      <c r="B11" s="4"/>
      <c r="C11" s="5"/>
      <c r="D11" s="5"/>
      <c r="E11" s="5" t="s">
        <v>65</v>
      </c>
      <c r="F11" s="5"/>
      <c r="G11" s="282">
        <v>0</v>
      </c>
      <c r="H11" s="274">
        <v>0</v>
      </c>
      <c r="I11" s="276">
        <v>0</v>
      </c>
      <c r="J11" s="280">
        <v>0</v>
      </c>
      <c r="K11" s="6"/>
      <c r="L11" s="301"/>
      <c r="M11" s="301"/>
      <c r="N11" s="301"/>
      <c r="O11" s="301"/>
    </row>
    <row r="12" spans="1:15" ht="12.75">
      <c r="A12" s="301"/>
      <c r="B12" s="4"/>
      <c r="C12" s="5"/>
      <c r="D12" s="5"/>
      <c r="E12" s="5" t="s">
        <v>66</v>
      </c>
      <c r="F12" s="5"/>
      <c r="G12" s="282">
        <v>0</v>
      </c>
      <c r="H12" s="274">
        <v>0</v>
      </c>
      <c r="I12" s="276">
        <v>0</v>
      </c>
      <c r="J12" s="280">
        <v>0</v>
      </c>
      <c r="K12" s="6"/>
      <c r="L12" s="301"/>
      <c r="M12" s="301"/>
      <c r="N12" s="301"/>
      <c r="O12" s="301"/>
    </row>
    <row r="13" spans="1:15" ht="12.75">
      <c r="A13" s="301"/>
      <c r="B13" s="4"/>
      <c r="C13" s="5"/>
      <c r="D13" s="5"/>
      <c r="E13" s="5" t="s">
        <v>67</v>
      </c>
      <c r="F13" s="5"/>
      <c r="G13" s="282">
        <v>0</v>
      </c>
      <c r="H13" s="274">
        <v>0</v>
      </c>
      <c r="I13" s="276">
        <v>0</v>
      </c>
      <c r="J13" s="280">
        <v>0</v>
      </c>
      <c r="K13" s="6"/>
      <c r="L13" s="301"/>
      <c r="M13" s="301"/>
      <c r="N13" s="301"/>
      <c r="O13" s="301"/>
    </row>
    <row r="14" spans="1:15" ht="12.75">
      <c r="A14" s="301"/>
      <c r="B14" s="4"/>
      <c r="C14" s="5"/>
      <c r="D14" s="5"/>
      <c r="E14" s="5" t="s">
        <v>25</v>
      </c>
      <c r="F14" s="5"/>
      <c r="G14" s="282">
        <v>0</v>
      </c>
      <c r="H14" s="274">
        <v>0</v>
      </c>
      <c r="I14" s="276">
        <v>0</v>
      </c>
      <c r="J14" s="280">
        <v>0</v>
      </c>
      <c r="K14" s="6"/>
      <c r="L14" s="301"/>
      <c r="M14" s="301"/>
      <c r="N14" s="301"/>
      <c r="O14" s="301"/>
    </row>
    <row r="15" spans="1:15" ht="12.75">
      <c r="A15" s="301"/>
      <c r="B15" s="4"/>
      <c r="C15" s="5"/>
      <c r="D15" s="5"/>
      <c r="E15" s="5"/>
      <c r="F15" s="5"/>
      <c r="G15" s="31"/>
      <c r="H15" s="5"/>
      <c r="I15" s="5"/>
      <c r="J15" s="5"/>
      <c r="K15" s="6"/>
      <c r="L15" s="301"/>
      <c r="M15" s="301"/>
      <c r="N15" s="301"/>
      <c r="O15" s="301"/>
    </row>
    <row r="16" spans="1:15" ht="12.75">
      <c r="A16" s="301"/>
      <c r="B16" s="4"/>
      <c r="C16" s="5"/>
      <c r="D16" s="5"/>
      <c r="E16" s="5"/>
      <c r="F16" s="5"/>
      <c r="G16" s="31"/>
      <c r="H16" s="5"/>
      <c r="I16" s="5"/>
      <c r="J16" s="5"/>
      <c r="K16" s="6"/>
      <c r="L16" s="301"/>
      <c r="M16" s="301"/>
      <c r="N16" s="301"/>
      <c r="O16" s="301"/>
    </row>
    <row r="17" spans="1:15" ht="12.75">
      <c r="A17" s="301"/>
      <c r="B17" s="4"/>
      <c r="C17" s="5"/>
      <c r="D17" s="15" t="s">
        <v>543</v>
      </c>
      <c r="E17" s="5"/>
      <c r="F17" s="5"/>
      <c r="G17" s="31"/>
      <c r="H17" s="5"/>
      <c r="I17" s="5"/>
      <c r="J17" s="5"/>
      <c r="K17" s="6"/>
      <c r="L17" s="301"/>
      <c r="M17" s="301"/>
      <c r="N17" s="301"/>
      <c r="O17" s="301"/>
    </row>
    <row r="18" spans="1:15" ht="12.75">
      <c r="A18" s="301"/>
      <c r="B18" s="4"/>
      <c r="C18" s="5"/>
      <c r="D18" s="5"/>
      <c r="E18" s="5" t="s">
        <v>68</v>
      </c>
      <c r="F18" s="5"/>
      <c r="G18" s="282">
        <v>58</v>
      </c>
      <c r="H18" s="273">
        <f>H8</f>
        <v>2500</v>
      </c>
      <c r="I18" s="275">
        <f>'Front End'!G3</f>
        <v>2500</v>
      </c>
      <c r="J18" s="279">
        <f>'Front End'!G3</f>
        <v>2500</v>
      </c>
      <c r="K18" s="6"/>
      <c r="L18" s="301"/>
      <c r="M18" s="301"/>
      <c r="N18" s="301"/>
      <c r="O18" s="301"/>
    </row>
    <row r="19" spans="1:15" ht="12.75">
      <c r="A19" s="301"/>
      <c r="B19" s="4"/>
      <c r="C19" s="5"/>
      <c r="D19" s="5"/>
      <c r="E19" s="5" t="s">
        <v>69</v>
      </c>
      <c r="F19" s="5"/>
      <c r="G19" s="282">
        <v>65</v>
      </c>
      <c r="H19" s="273">
        <f>H8</f>
        <v>2500</v>
      </c>
      <c r="I19" s="275">
        <f>'Front End'!G3</f>
        <v>2500</v>
      </c>
      <c r="J19" s="279">
        <f>'Front End'!G3</f>
        <v>2500</v>
      </c>
      <c r="K19" s="6"/>
      <c r="L19" s="301"/>
      <c r="M19" s="301"/>
      <c r="N19" s="301"/>
      <c r="O19" s="301"/>
    </row>
    <row r="20" spans="1:15" ht="12.75">
      <c r="A20" s="301"/>
      <c r="B20" s="4"/>
      <c r="C20" s="5"/>
      <c r="D20" s="5"/>
      <c r="E20" s="5" t="s">
        <v>25</v>
      </c>
      <c r="F20" s="5"/>
      <c r="G20" s="282">
        <v>0</v>
      </c>
      <c r="H20" s="274">
        <v>0</v>
      </c>
      <c r="I20" s="276">
        <v>0</v>
      </c>
      <c r="J20" s="280">
        <v>0</v>
      </c>
      <c r="K20" s="6"/>
      <c r="L20" s="301"/>
      <c r="M20" s="301"/>
      <c r="N20" s="301"/>
      <c r="O20" s="301"/>
    </row>
    <row r="21" spans="1:15" ht="12.75">
      <c r="A21" s="301"/>
      <c r="B21" s="4"/>
      <c r="C21" s="5"/>
      <c r="D21" s="5"/>
      <c r="E21" s="5"/>
      <c r="F21" s="5"/>
      <c r="G21" s="283"/>
      <c r="H21" s="5"/>
      <c r="I21" s="5"/>
      <c r="J21" s="5"/>
      <c r="K21" s="6"/>
      <c r="L21" s="301"/>
      <c r="M21" s="301"/>
      <c r="N21" s="301"/>
      <c r="O21" s="301"/>
    </row>
    <row r="22" spans="1:15" ht="12.75">
      <c r="A22" s="301"/>
      <c r="B22" s="4"/>
      <c r="C22" s="5"/>
      <c r="D22" s="15" t="s">
        <v>544</v>
      </c>
      <c r="E22" s="5"/>
      <c r="F22" s="5"/>
      <c r="G22" s="31"/>
      <c r="H22" s="5"/>
      <c r="I22" s="5"/>
      <c r="J22" s="5"/>
      <c r="K22" s="6"/>
      <c r="L22" s="301"/>
      <c r="M22" s="301"/>
      <c r="N22" s="301"/>
      <c r="O22" s="301"/>
    </row>
    <row r="23" spans="1:15" ht="12.75">
      <c r="A23" s="301"/>
      <c r="B23" s="4"/>
      <c r="C23" s="5"/>
      <c r="D23" s="5"/>
      <c r="E23" s="5" t="s">
        <v>70</v>
      </c>
      <c r="F23" s="5"/>
      <c r="G23" s="282">
        <v>50</v>
      </c>
      <c r="H23" s="273">
        <f>H8</f>
        <v>2500</v>
      </c>
      <c r="I23" s="275">
        <f>'Front End'!G3</f>
        <v>2500</v>
      </c>
      <c r="J23" s="279">
        <f>'Front End'!G3</f>
        <v>2500</v>
      </c>
      <c r="K23" s="6"/>
      <c r="L23" s="301"/>
      <c r="M23" s="301"/>
      <c r="N23" s="301"/>
      <c r="O23" s="301"/>
    </row>
    <row r="24" spans="1:15" ht="12.75">
      <c r="A24" s="301"/>
      <c r="B24" s="4"/>
      <c r="C24" s="5"/>
      <c r="D24" s="5"/>
      <c r="E24" s="5" t="s">
        <v>71</v>
      </c>
      <c r="F24" s="5"/>
      <c r="G24" s="282">
        <v>0</v>
      </c>
      <c r="H24" s="274">
        <v>0</v>
      </c>
      <c r="I24" s="276">
        <v>0</v>
      </c>
      <c r="J24" s="280">
        <v>0</v>
      </c>
      <c r="K24" s="6"/>
      <c r="L24" s="301"/>
      <c r="M24" s="301"/>
      <c r="N24" s="301"/>
      <c r="O24" s="301"/>
    </row>
    <row r="25" spans="1:15" ht="12.75">
      <c r="A25" s="301"/>
      <c r="B25" s="4"/>
      <c r="C25" s="5"/>
      <c r="D25" s="5"/>
      <c r="E25" s="5" t="s">
        <v>72</v>
      </c>
      <c r="F25" s="5"/>
      <c r="G25" s="282">
        <v>69</v>
      </c>
      <c r="H25" s="273">
        <f>H8</f>
        <v>2500</v>
      </c>
      <c r="I25" s="275">
        <f>'Front End'!G3</f>
        <v>2500</v>
      </c>
      <c r="J25" s="279">
        <f>'Front End'!G3</f>
        <v>2500</v>
      </c>
      <c r="K25" s="6"/>
      <c r="L25" s="301"/>
      <c r="M25" s="301"/>
      <c r="N25" s="301"/>
      <c r="O25" s="301"/>
    </row>
    <row r="26" spans="1:15" ht="12.75">
      <c r="A26" s="301"/>
      <c r="B26" s="4"/>
      <c r="C26" s="5"/>
      <c r="D26" s="5"/>
      <c r="E26" s="5" t="s">
        <v>25</v>
      </c>
      <c r="F26" s="5"/>
      <c r="G26" s="282">
        <v>0</v>
      </c>
      <c r="H26" s="274">
        <v>0</v>
      </c>
      <c r="I26" s="276">
        <v>0</v>
      </c>
      <c r="J26" s="280">
        <v>0</v>
      </c>
      <c r="K26" s="6"/>
      <c r="L26" s="301"/>
      <c r="M26" s="301"/>
      <c r="N26" s="301"/>
      <c r="O26" s="301"/>
    </row>
    <row r="27" spans="1:15" ht="13.5" thickBot="1">
      <c r="A27" s="301"/>
      <c r="B27" s="7"/>
      <c r="C27" s="8"/>
      <c r="D27" s="8"/>
      <c r="E27" s="8"/>
      <c r="F27" s="8"/>
      <c r="G27" s="8"/>
      <c r="H27" s="8"/>
      <c r="I27" s="8"/>
      <c r="J27" s="8"/>
      <c r="K27" s="9"/>
      <c r="L27" s="301"/>
      <c r="M27" s="301"/>
      <c r="N27" s="301"/>
      <c r="O27" s="301"/>
    </row>
    <row r="28" spans="1:15" ht="13.5" thickTop="1">
      <c r="A28" s="301"/>
      <c r="B28" s="301"/>
      <c r="C28" s="301"/>
      <c r="D28" s="301"/>
      <c r="E28" s="301"/>
      <c r="F28" s="301"/>
      <c r="G28" s="301"/>
      <c r="H28" s="301"/>
      <c r="I28" s="301"/>
      <c r="J28" s="301"/>
      <c r="K28" s="301"/>
      <c r="L28" s="301"/>
      <c r="M28" s="301"/>
      <c r="N28" s="301"/>
      <c r="O28" s="301"/>
    </row>
    <row r="29" spans="1:15" ht="12.75">
      <c r="A29" s="301"/>
      <c r="B29" s="301"/>
      <c r="C29" s="301"/>
      <c r="D29" s="301"/>
      <c r="E29" s="301"/>
      <c r="F29" s="301"/>
      <c r="G29" s="301"/>
      <c r="H29" s="301"/>
      <c r="I29" s="301"/>
      <c r="J29" s="301"/>
      <c r="K29" s="301"/>
      <c r="L29" s="301"/>
      <c r="M29" s="301"/>
      <c r="N29" s="301"/>
      <c r="O29" s="301"/>
    </row>
    <row r="30" spans="1:15" ht="12.75">
      <c r="A30" s="301"/>
      <c r="B30" s="301"/>
      <c r="C30" s="301"/>
      <c r="D30" s="301"/>
      <c r="E30" s="301"/>
      <c r="F30" s="301"/>
      <c r="G30" s="301"/>
      <c r="H30" s="301"/>
      <c r="I30" s="301"/>
      <c r="J30" s="301"/>
      <c r="K30" s="301"/>
      <c r="L30" s="301"/>
      <c r="M30" s="301"/>
      <c r="N30" s="301"/>
      <c r="O30" s="301"/>
    </row>
    <row r="31" spans="1:15" ht="12.75">
      <c r="A31" s="301"/>
      <c r="B31" s="301"/>
      <c r="C31" s="301"/>
      <c r="D31" s="301"/>
      <c r="E31" s="301"/>
      <c r="F31" s="301"/>
      <c r="G31" s="301"/>
      <c r="H31" s="301"/>
      <c r="I31" s="301"/>
      <c r="J31" s="301"/>
      <c r="K31" s="301"/>
      <c r="L31" s="301"/>
      <c r="M31" s="301"/>
      <c r="N31" s="301"/>
      <c r="O31" s="301"/>
    </row>
    <row r="32" spans="1:15" ht="12.75">
      <c r="A32" s="301"/>
      <c r="B32" s="301"/>
      <c r="C32" s="301"/>
      <c r="D32" s="301"/>
      <c r="E32" s="301"/>
      <c r="F32" s="301"/>
      <c r="G32" s="301"/>
      <c r="H32" s="301"/>
      <c r="I32" s="301"/>
      <c r="J32" s="301"/>
      <c r="K32" s="301"/>
      <c r="L32" s="301"/>
      <c r="M32" s="301"/>
      <c r="N32" s="301"/>
      <c r="O32" s="301"/>
    </row>
    <row r="33" spans="1:15" ht="12.75">
      <c r="A33" s="301"/>
      <c r="B33" s="301"/>
      <c r="C33" s="301"/>
      <c r="D33" s="301"/>
      <c r="E33" s="301"/>
      <c r="F33" s="301"/>
      <c r="G33" s="301"/>
      <c r="H33" s="301"/>
      <c r="I33" s="301"/>
      <c r="J33" s="301"/>
      <c r="K33" s="301"/>
      <c r="L33" s="301"/>
      <c r="M33" s="301"/>
      <c r="N33" s="301"/>
      <c r="O33" s="301"/>
    </row>
    <row r="34" spans="2:15" ht="12.75">
      <c r="B34" s="301"/>
      <c r="C34" s="301"/>
      <c r="D34" s="301"/>
      <c r="E34" s="301"/>
      <c r="F34" s="301"/>
      <c r="G34" s="301"/>
      <c r="H34" s="301"/>
      <c r="I34" s="301"/>
      <c r="J34" s="301"/>
      <c r="K34" s="301"/>
      <c r="L34" s="301"/>
      <c r="M34" s="301"/>
      <c r="N34" s="301"/>
      <c r="O34" s="301"/>
    </row>
  </sheetData>
  <sheetProtection password="D387" sheet="1" objects="1" scenarios="1"/>
  <mergeCells count="1">
    <mergeCell ref="H6:J6"/>
  </mergeCells>
  <printOptions/>
  <pageMargins left="0.75" right="0.75" top="1" bottom="1" header="0.5" footer="0.5"/>
  <pageSetup fitToHeight="1" fitToWidth="1" horizontalDpi="600" verticalDpi="600" orientation="portrait" scale="88" r:id="rId1"/>
  <headerFooter alignWithMargins="0">
    <oddHeader>&amp;CTotal Cost of Application Ownership (TCA) Calculator</oddHeader>
    <oddFooter>&amp;LThe Tolly Group TCA Calculator
&amp;P&amp;D&amp;T&amp;R© The Tolly Group, 1999</oddFooter>
  </headerFooter>
</worksheet>
</file>

<file path=xl/worksheets/sheet50.xml><?xml version="1.0" encoding="utf-8"?>
<worksheet xmlns="http://schemas.openxmlformats.org/spreadsheetml/2006/main" xmlns:r="http://schemas.openxmlformats.org/officeDocument/2006/relationships">
  <sheetPr codeName="Sheet101">
    <pageSetUpPr fitToPage="1"/>
  </sheetPr>
  <dimension ref="A1:O129"/>
  <sheetViews>
    <sheetView workbookViewId="0" topLeftCell="A90">
      <selection activeCell="A85" sqref="A85"/>
    </sheetView>
  </sheetViews>
  <sheetFormatPr defaultColWidth="9.140625" defaultRowHeight="12.75"/>
  <cols>
    <col min="2" max="2" width="10.421875" style="0" customWidth="1"/>
    <col min="6" max="6" width="16.140625" style="0" customWidth="1"/>
    <col min="7" max="7" width="13.8515625" style="0" customWidth="1"/>
    <col min="8" max="8" width="15.8515625" style="0" customWidth="1"/>
  </cols>
  <sheetData>
    <row r="1" spans="1:9" ht="15.75" thickTop="1">
      <c r="A1" s="34" t="s">
        <v>192</v>
      </c>
      <c r="B1" s="3"/>
      <c r="C1" s="3"/>
      <c r="D1" s="3"/>
      <c r="E1" s="3"/>
      <c r="F1" s="3"/>
      <c r="G1" s="3"/>
      <c r="H1" s="3"/>
      <c r="I1" s="13"/>
    </row>
    <row r="2" spans="1:9" ht="12.75">
      <c r="A2" s="4"/>
      <c r="B2" s="5"/>
      <c r="C2" s="5"/>
      <c r="D2" s="5"/>
      <c r="E2" s="5"/>
      <c r="F2" s="5"/>
      <c r="G2" s="5"/>
      <c r="H2" s="5"/>
      <c r="I2" s="6"/>
    </row>
    <row r="3" spans="1:9" ht="15.75">
      <c r="A3" s="14"/>
      <c r="B3" s="30" t="s">
        <v>482</v>
      </c>
      <c r="C3" s="5"/>
      <c r="D3" s="5"/>
      <c r="E3" s="5"/>
      <c r="F3" s="5"/>
      <c r="G3" s="5"/>
      <c r="H3" s="5" t="s">
        <v>1</v>
      </c>
      <c r="I3" s="6"/>
    </row>
    <row r="4" spans="1:9" ht="12.75">
      <c r="A4" s="4"/>
      <c r="B4" s="5"/>
      <c r="C4" s="5"/>
      <c r="D4" s="5"/>
      <c r="E4" s="5"/>
      <c r="F4" s="5"/>
      <c r="G4" s="51"/>
      <c r="H4" s="51"/>
      <c r="I4" s="6"/>
    </row>
    <row r="5" spans="1:9" ht="18" customHeight="1">
      <c r="A5" s="58"/>
      <c r="B5" s="30" t="s">
        <v>483</v>
      </c>
      <c r="C5" s="5"/>
      <c r="D5" s="5"/>
      <c r="E5" s="5"/>
      <c r="F5" s="5" t="s">
        <v>265</v>
      </c>
      <c r="G5" s="51" t="s">
        <v>101</v>
      </c>
      <c r="H5" s="142" t="s">
        <v>41</v>
      </c>
      <c r="I5" s="6"/>
    </row>
    <row r="6" spans="1:9" ht="12.75" customHeight="1">
      <c r="A6" s="4"/>
      <c r="B6" s="59"/>
      <c r="C6" s="5" t="s">
        <v>12</v>
      </c>
      <c r="D6" s="5"/>
      <c r="E6" s="5"/>
      <c r="F6" s="94">
        <f>'Hardware Procurement'!G7</f>
        <v>4000</v>
      </c>
      <c r="G6" s="160">
        <f>'Hardware Procurement'!J7</f>
        <v>38.46153846153846</v>
      </c>
      <c r="H6" s="31">
        <f aca="true" t="shared" si="0" ref="H6:H15">F6*G6</f>
        <v>153846.15384615384</v>
      </c>
      <c r="I6" s="6"/>
    </row>
    <row r="7" spans="1:9" ht="12.75">
      <c r="A7" s="4"/>
      <c r="B7" s="5"/>
      <c r="C7" s="5" t="s">
        <v>102</v>
      </c>
      <c r="D7" s="5"/>
      <c r="E7" s="5"/>
      <c r="F7" s="94">
        <f>'Hardware Procurement'!G8</f>
        <v>1100</v>
      </c>
      <c r="G7" s="160">
        <f>'Hardware Procurement'!J8</f>
        <v>230.76923076923077</v>
      </c>
      <c r="H7" s="31">
        <f t="shared" si="0"/>
        <v>253846.15384615384</v>
      </c>
      <c r="I7" s="6"/>
    </row>
    <row r="8" spans="1:9" ht="12.75">
      <c r="A8" s="4"/>
      <c r="B8" s="5"/>
      <c r="C8" s="5" t="s">
        <v>103</v>
      </c>
      <c r="D8" s="5"/>
      <c r="E8" s="5"/>
      <c r="F8" s="94">
        <f>'Hardware Procurement'!G9</f>
        <v>260</v>
      </c>
      <c r="G8" s="160">
        <f>'Hardware Procurement'!J9</f>
        <v>38.46153846153846</v>
      </c>
      <c r="H8" s="31">
        <f t="shared" si="0"/>
        <v>10000</v>
      </c>
      <c r="I8" s="6"/>
    </row>
    <row r="9" spans="1:9" ht="12.75">
      <c r="A9" s="4"/>
      <c r="B9" s="5"/>
      <c r="C9" s="5" t="s">
        <v>104</v>
      </c>
      <c r="D9" s="5"/>
      <c r="E9" s="5"/>
      <c r="F9" s="94">
        <f>'Hardware Procurement'!G10</f>
        <v>800</v>
      </c>
      <c r="G9" s="160">
        <f>'Hardware Procurement'!J10</f>
        <v>38.46153846153846</v>
      </c>
      <c r="H9" s="31">
        <f t="shared" si="0"/>
        <v>30769.23076923077</v>
      </c>
      <c r="I9" s="6"/>
    </row>
    <row r="10" spans="1:9" ht="12.75">
      <c r="A10" s="4"/>
      <c r="B10" s="5"/>
      <c r="C10" s="5" t="s">
        <v>250</v>
      </c>
      <c r="D10" s="5"/>
      <c r="E10" s="5"/>
      <c r="F10" s="94">
        <f>'Hardware Procurement'!G11</f>
        <v>150</v>
      </c>
      <c r="G10" s="160">
        <f>'Hardware Procurement'!J11</f>
        <v>38.46153846153846</v>
      </c>
      <c r="H10" s="31">
        <f t="shared" si="0"/>
        <v>5769.230769230769</v>
      </c>
      <c r="I10" s="6"/>
    </row>
    <row r="11" spans="1:9" ht="12.75">
      <c r="A11" s="4"/>
      <c r="B11" s="5"/>
      <c r="C11" s="5" t="s">
        <v>105</v>
      </c>
      <c r="D11" s="5"/>
      <c r="E11" s="5"/>
      <c r="F11" s="94">
        <f>'Hardware Procurement'!G12</f>
        <v>1200</v>
      </c>
      <c r="G11" s="160">
        <f>'Hardware Procurement'!J12</f>
        <v>38.46153846153846</v>
      </c>
      <c r="H11" s="31">
        <f t="shared" si="0"/>
        <v>46153.84615384615</v>
      </c>
      <c r="I11" s="6"/>
    </row>
    <row r="12" spans="1:9" ht="12.75">
      <c r="A12" s="4"/>
      <c r="B12" s="5"/>
      <c r="C12" s="5" t="s">
        <v>251</v>
      </c>
      <c r="D12" s="5"/>
      <c r="E12" s="5"/>
      <c r="F12" s="94">
        <f>'Hardware Procurement'!G13</f>
        <v>5000</v>
      </c>
      <c r="G12" s="160">
        <f>'Hardware Procurement'!J13</f>
        <v>38.46153846153846</v>
      </c>
      <c r="H12" s="31">
        <f t="shared" si="0"/>
        <v>192307.6923076923</v>
      </c>
      <c r="I12" s="6"/>
    </row>
    <row r="13" spans="1:9" ht="12.75">
      <c r="A13" s="4"/>
      <c r="B13" s="5"/>
      <c r="C13" s="5" t="s">
        <v>252</v>
      </c>
      <c r="D13" s="5"/>
      <c r="E13" s="5"/>
      <c r="F13" s="94">
        <f>'Hardware Procurement'!G14</f>
        <v>900</v>
      </c>
      <c r="G13" s="160">
        <f>'Hardware Procurement'!J14</f>
        <v>38.46153846153846</v>
      </c>
      <c r="H13" s="31">
        <f t="shared" si="0"/>
        <v>34615.38461538462</v>
      </c>
      <c r="I13" s="6"/>
    </row>
    <row r="14" spans="1:9" ht="12.75">
      <c r="A14" s="4"/>
      <c r="B14" s="5"/>
      <c r="C14" s="5" t="s">
        <v>253</v>
      </c>
      <c r="D14" s="5"/>
      <c r="E14" s="5"/>
      <c r="F14" s="94">
        <f>'Hardware Procurement'!G15</f>
        <v>550</v>
      </c>
      <c r="G14" s="160">
        <f>'Hardware Procurement'!J15</f>
        <v>38.46153846153846</v>
      </c>
      <c r="H14" s="31">
        <f t="shared" si="0"/>
        <v>21153.846153846152</v>
      </c>
      <c r="I14" s="6"/>
    </row>
    <row r="15" spans="1:9" ht="13.5" thickBot="1">
      <c r="A15" s="52"/>
      <c r="B15" s="22"/>
      <c r="C15" s="22" t="s">
        <v>25</v>
      </c>
      <c r="D15" s="22"/>
      <c r="E15" s="22"/>
      <c r="F15" s="288">
        <f>'Hardware Procurement'!G16</f>
        <v>0</v>
      </c>
      <c r="G15" s="161">
        <f>'Hardware Procurement'!J16</f>
        <v>38.46153846153846</v>
      </c>
      <c r="H15" s="35">
        <f t="shared" si="0"/>
        <v>0</v>
      </c>
      <c r="I15" s="6"/>
    </row>
    <row r="16" spans="1:9" ht="13.5" thickTop="1">
      <c r="A16" s="4"/>
      <c r="B16" s="5" t="s">
        <v>269</v>
      </c>
      <c r="C16" s="5"/>
      <c r="D16" s="5"/>
      <c r="E16" s="5"/>
      <c r="F16" s="31"/>
      <c r="G16" s="5"/>
      <c r="H16" s="31">
        <f>SUM(H6:H15)</f>
        <v>748461.5384615384</v>
      </c>
      <c r="I16" s="6"/>
    </row>
    <row r="17" spans="1:9" ht="12.75" customHeight="1">
      <c r="A17" s="4"/>
      <c r="B17" s="5"/>
      <c r="C17" s="5"/>
      <c r="D17" s="5"/>
      <c r="E17" s="5"/>
      <c r="F17" s="31"/>
      <c r="G17" s="5"/>
      <c r="H17" s="5"/>
      <c r="I17" s="6"/>
    </row>
    <row r="18" spans="1:9" ht="15" customHeight="1">
      <c r="A18" s="14"/>
      <c r="B18" s="30" t="s">
        <v>478</v>
      </c>
      <c r="C18" s="5"/>
      <c r="D18" s="5"/>
      <c r="E18" s="5"/>
      <c r="F18" s="31"/>
      <c r="G18" s="5"/>
      <c r="H18" s="5"/>
      <c r="I18" s="6"/>
    </row>
    <row r="19" spans="1:9" ht="12.75" customHeight="1">
      <c r="A19" s="14"/>
      <c r="B19" s="59"/>
      <c r="C19" s="5" t="s">
        <v>12</v>
      </c>
      <c r="D19" s="5"/>
      <c r="E19" s="5"/>
      <c r="F19" s="85">
        <f>'Hardware Procurement'!G19</f>
        <v>4000</v>
      </c>
      <c r="G19" s="88">
        <f>'Hardware Procurement'!J19</f>
        <v>1</v>
      </c>
      <c r="H19" s="31">
        <f aca="true" t="shared" si="1" ref="H19:H28">F19*G19</f>
        <v>4000</v>
      </c>
      <c r="I19" s="6"/>
    </row>
    <row r="20" spans="1:9" ht="12.75" customHeight="1">
      <c r="A20" s="14"/>
      <c r="B20" s="59"/>
      <c r="C20" s="5" t="s">
        <v>102</v>
      </c>
      <c r="D20" s="5"/>
      <c r="E20" s="5"/>
      <c r="F20" s="85">
        <f>'Hardware Procurement'!G20</f>
        <v>1100</v>
      </c>
      <c r="G20" s="88">
        <f>'Hardware Procurement'!J20</f>
        <v>6</v>
      </c>
      <c r="H20" s="31">
        <f t="shared" si="1"/>
        <v>6600</v>
      </c>
      <c r="I20" s="6"/>
    </row>
    <row r="21" spans="1:9" ht="12.75" customHeight="1">
      <c r="A21" s="14"/>
      <c r="B21" s="59"/>
      <c r="C21" s="5" t="s">
        <v>103</v>
      </c>
      <c r="D21" s="5"/>
      <c r="E21" s="5"/>
      <c r="F21" s="85">
        <f>'Hardware Procurement'!G21</f>
        <v>260</v>
      </c>
      <c r="G21" s="88">
        <f>'Hardware Procurement'!J21</f>
        <v>1</v>
      </c>
      <c r="H21" s="31">
        <f t="shared" si="1"/>
        <v>260</v>
      </c>
      <c r="I21" s="6"/>
    </row>
    <row r="22" spans="1:9" ht="12.75" customHeight="1">
      <c r="A22" s="14"/>
      <c r="B22" s="59"/>
      <c r="C22" s="5" t="s">
        <v>104</v>
      </c>
      <c r="D22" s="5"/>
      <c r="E22" s="5"/>
      <c r="F22" s="85">
        <f>'Hardware Procurement'!G22</f>
        <v>800</v>
      </c>
      <c r="G22" s="88">
        <f>'Hardware Procurement'!J22</f>
        <v>1</v>
      </c>
      <c r="H22" s="31">
        <f t="shared" si="1"/>
        <v>800</v>
      </c>
      <c r="I22" s="6"/>
    </row>
    <row r="23" spans="1:9" ht="12.75" customHeight="1">
      <c r="A23" s="14"/>
      <c r="B23" s="59"/>
      <c r="C23" s="5" t="s">
        <v>250</v>
      </c>
      <c r="D23" s="5"/>
      <c r="E23" s="5"/>
      <c r="F23" s="85">
        <f>'Hardware Procurement'!G23</f>
        <v>150</v>
      </c>
      <c r="G23" s="88">
        <f>'Hardware Procurement'!J23</f>
        <v>1</v>
      </c>
      <c r="H23" s="31">
        <f t="shared" si="1"/>
        <v>150</v>
      </c>
      <c r="I23" s="6"/>
    </row>
    <row r="24" spans="1:9" ht="12.75" customHeight="1">
      <c r="A24" s="14"/>
      <c r="B24" s="59"/>
      <c r="C24" s="5" t="s">
        <v>105</v>
      </c>
      <c r="D24" s="5"/>
      <c r="E24" s="5"/>
      <c r="F24" s="85">
        <f>'Hardware Procurement'!G24</f>
        <v>1200</v>
      </c>
      <c r="G24" s="88">
        <f>'Hardware Procurement'!J24</f>
        <v>1</v>
      </c>
      <c r="H24" s="31">
        <f t="shared" si="1"/>
        <v>1200</v>
      </c>
      <c r="I24" s="6"/>
    </row>
    <row r="25" spans="1:9" ht="12.75" customHeight="1">
      <c r="A25" s="14"/>
      <c r="B25" s="59"/>
      <c r="C25" s="5" t="s">
        <v>251</v>
      </c>
      <c r="D25" s="5"/>
      <c r="E25" s="5"/>
      <c r="F25" s="85">
        <f>'Hardware Procurement'!G25</f>
        <v>5000</v>
      </c>
      <c r="G25" s="88">
        <f>'Hardware Procurement'!J25</f>
        <v>0</v>
      </c>
      <c r="H25" s="31">
        <f t="shared" si="1"/>
        <v>0</v>
      </c>
      <c r="I25" s="6"/>
    </row>
    <row r="26" spans="1:9" ht="12.75" customHeight="1">
      <c r="A26" s="14"/>
      <c r="B26" s="59"/>
      <c r="C26" s="5" t="s">
        <v>252</v>
      </c>
      <c r="D26" s="5"/>
      <c r="E26" s="5"/>
      <c r="F26" s="85">
        <f>'Hardware Procurement'!G26</f>
        <v>900</v>
      </c>
      <c r="G26" s="88">
        <f>'Hardware Procurement'!J26</f>
        <v>1</v>
      </c>
      <c r="H26" s="31">
        <f t="shared" si="1"/>
        <v>900</v>
      </c>
      <c r="I26" s="6"/>
    </row>
    <row r="27" spans="1:9" ht="12.75">
      <c r="A27" s="4"/>
      <c r="B27" s="59"/>
      <c r="C27" s="5" t="s">
        <v>253</v>
      </c>
      <c r="D27" s="5"/>
      <c r="E27" s="5"/>
      <c r="F27" s="85">
        <f>'Hardware Procurement'!G27</f>
        <v>550</v>
      </c>
      <c r="G27" s="88">
        <f>'Hardware Procurement'!J27</f>
        <v>1</v>
      </c>
      <c r="H27" s="31">
        <f t="shared" si="1"/>
        <v>550</v>
      </c>
      <c r="I27" s="6"/>
    </row>
    <row r="28" spans="1:9" ht="13.5" thickBot="1">
      <c r="A28" s="52"/>
      <c r="B28" s="60"/>
      <c r="C28" s="22" t="s">
        <v>25</v>
      </c>
      <c r="D28" s="22"/>
      <c r="E28" s="22"/>
      <c r="F28" s="91">
        <f>'Hardware Procurement'!G28</f>
        <v>0</v>
      </c>
      <c r="G28" s="89">
        <f>'Hardware Procurement'!J28</f>
        <v>0</v>
      </c>
      <c r="H28" s="35">
        <f t="shared" si="1"/>
        <v>0</v>
      </c>
      <c r="I28" s="6"/>
    </row>
    <row r="29" spans="1:9" ht="13.5" thickTop="1">
      <c r="A29" s="4"/>
      <c r="B29" s="5" t="s">
        <v>269</v>
      </c>
      <c r="C29" s="5"/>
      <c r="D29" s="5"/>
      <c r="E29" s="5"/>
      <c r="F29" s="31"/>
      <c r="G29" s="5"/>
      <c r="H29" s="31">
        <f>SUM(H19:H28)</f>
        <v>14460</v>
      </c>
      <c r="I29" s="6"/>
    </row>
    <row r="30" spans="1:9" ht="12.75" customHeight="1">
      <c r="A30" s="4"/>
      <c r="B30" s="5"/>
      <c r="C30" s="5"/>
      <c r="D30" s="5"/>
      <c r="E30" s="5"/>
      <c r="F30" s="31"/>
      <c r="G30" s="5"/>
      <c r="H30" s="5"/>
      <c r="I30" s="6"/>
    </row>
    <row r="31" spans="1:9" ht="15.75">
      <c r="A31" s="14"/>
      <c r="B31" s="30" t="s">
        <v>479</v>
      </c>
      <c r="C31" s="5"/>
      <c r="D31" s="5"/>
      <c r="E31" s="5"/>
      <c r="F31" s="31"/>
      <c r="G31" s="5"/>
      <c r="H31" s="5"/>
      <c r="I31" s="6"/>
    </row>
    <row r="32" spans="1:9" ht="12.75">
      <c r="A32" s="4"/>
      <c r="B32" s="5"/>
      <c r="C32" s="5" t="s">
        <v>107</v>
      </c>
      <c r="D32" s="5"/>
      <c r="E32" s="5"/>
      <c r="F32" s="85">
        <f>'Hardware Procurement'!G31</f>
        <v>2000</v>
      </c>
      <c r="G32" s="88">
        <f>'Hardware Procurement'!J31</f>
        <v>500</v>
      </c>
      <c r="H32" s="31">
        <f aca="true" t="shared" si="2" ref="H32:H39">F32*G32</f>
        <v>1000000</v>
      </c>
      <c r="I32" s="6"/>
    </row>
    <row r="33" spans="1:9" ht="12.75">
      <c r="A33" s="4"/>
      <c r="B33" s="5"/>
      <c r="C33" s="5" t="s">
        <v>108</v>
      </c>
      <c r="D33" s="5"/>
      <c r="E33" s="5"/>
      <c r="F33" s="85">
        <f>'Hardware Procurement'!G32</f>
        <v>1500</v>
      </c>
      <c r="G33" s="88">
        <f>'Hardware Procurement'!J32</f>
        <v>0</v>
      </c>
      <c r="H33" s="31">
        <f t="shared" si="2"/>
        <v>0</v>
      </c>
      <c r="I33" s="6"/>
    </row>
    <row r="34" spans="1:9" ht="12.75">
      <c r="A34" s="4"/>
      <c r="B34" s="5"/>
      <c r="C34" s="5" t="s">
        <v>109</v>
      </c>
      <c r="D34" s="5"/>
      <c r="E34" s="5"/>
      <c r="F34" s="85">
        <f>'Hardware Procurement'!G33</f>
        <v>1200</v>
      </c>
      <c r="G34" s="88">
        <f>'Hardware Procurement'!J33</f>
        <v>0</v>
      </c>
      <c r="H34" s="31">
        <f t="shared" si="2"/>
        <v>0</v>
      </c>
      <c r="I34" s="6"/>
    </row>
    <row r="35" spans="1:9" ht="12.75">
      <c r="A35" s="4"/>
      <c r="B35" s="5"/>
      <c r="C35" s="5" t="s">
        <v>110</v>
      </c>
      <c r="D35" s="5"/>
      <c r="E35" s="5"/>
      <c r="F35" s="85">
        <f>'Hardware Procurement'!G34</f>
        <v>2000</v>
      </c>
      <c r="G35" s="88">
        <f>'Hardware Procurement'!J34</f>
        <v>0</v>
      </c>
      <c r="H35" s="31">
        <f t="shared" si="2"/>
        <v>0</v>
      </c>
      <c r="I35" s="6"/>
    </row>
    <row r="36" spans="1:9" ht="12.75">
      <c r="A36" s="4"/>
      <c r="B36" s="5"/>
      <c r="C36" s="5"/>
      <c r="D36" s="5" t="s">
        <v>111</v>
      </c>
      <c r="E36" s="5"/>
      <c r="F36" s="85">
        <f>'Hardware Procurement'!G35</f>
        <v>600</v>
      </c>
      <c r="G36" s="88">
        <f>'Hardware Procurement'!J35</f>
        <v>0</v>
      </c>
      <c r="H36" s="31">
        <f t="shared" si="2"/>
        <v>0</v>
      </c>
      <c r="I36" s="6"/>
    </row>
    <row r="37" spans="1:9" ht="12.75">
      <c r="A37" s="4"/>
      <c r="B37" s="5"/>
      <c r="C37" s="5" t="s">
        <v>112</v>
      </c>
      <c r="D37" s="5"/>
      <c r="E37" s="5"/>
      <c r="F37" s="85">
        <f>'Hardware Procurement'!G36</f>
        <v>3900</v>
      </c>
      <c r="G37" s="88">
        <f>'Hardware Procurement'!J36</f>
        <v>50</v>
      </c>
      <c r="H37" s="31">
        <f t="shared" si="2"/>
        <v>195000</v>
      </c>
      <c r="I37" s="6"/>
    </row>
    <row r="38" spans="1:9" ht="12.75">
      <c r="A38" s="4"/>
      <c r="B38" s="5"/>
      <c r="C38" s="5"/>
      <c r="D38" s="5" t="s">
        <v>111</v>
      </c>
      <c r="E38" s="5"/>
      <c r="F38" s="85">
        <f>'Hardware Procurement'!G37</f>
        <v>750</v>
      </c>
      <c r="G38" s="88">
        <f>'Hardware Procurement'!J37</f>
        <v>50</v>
      </c>
      <c r="H38" s="31">
        <f t="shared" si="2"/>
        <v>37500</v>
      </c>
      <c r="I38" s="6"/>
    </row>
    <row r="39" spans="1:9" ht="13.5" thickBot="1">
      <c r="A39" s="52"/>
      <c r="B39" s="22"/>
      <c r="C39" s="22" t="s">
        <v>25</v>
      </c>
      <c r="D39" s="22"/>
      <c r="E39" s="22"/>
      <c r="F39" s="91">
        <f>'Hardware Procurement'!G38</f>
        <v>0</v>
      </c>
      <c r="G39" s="89">
        <f>'Hardware Procurement'!J38</f>
        <v>0</v>
      </c>
      <c r="H39" s="35">
        <f t="shared" si="2"/>
        <v>0</v>
      </c>
      <c r="I39" s="6"/>
    </row>
    <row r="40" spans="1:9" ht="13.5" thickTop="1">
      <c r="A40" s="4"/>
      <c r="B40" s="5" t="s">
        <v>269</v>
      </c>
      <c r="C40" s="5"/>
      <c r="D40" s="5"/>
      <c r="E40" s="5"/>
      <c r="F40" s="31"/>
      <c r="G40" s="5"/>
      <c r="H40" s="31">
        <f>SUM(H32:H39)</f>
        <v>1232500</v>
      </c>
      <c r="I40" s="6"/>
    </row>
    <row r="41" spans="1:9" ht="12.75">
      <c r="A41" s="4"/>
      <c r="B41" s="5"/>
      <c r="C41" s="5"/>
      <c r="D41" s="5"/>
      <c r="E41" s="5"/>
      <c r="F41" s="31"/>
      <c r="G41" s="5"/>
      <c r="H41" s="31"/>
      <c r="I41" s="6"/>
    </row>
    <row r="42" spans="1:9" ht="15.75">
      <c r="A42" s="14"/>
      <c r="B42" s="30" t="s">
        <v>480</v>
      </c>
      <c r="C42" s="5"/>
      <c r="D42" s="5"/>
      <c r="E42" s="5"/>
      <c r="F42" s="31"/>
      <c r="G42" s="5"/>
      <c r="H42" s="31"/>
      <c r="I42" s="6"/>
    </row>
    <row r="43" spans="1:9" ht="12.75">
      <c r="A43" s="4"/>
      <c r="B43" s="5"/>
      <c r="C43" s="5" t="s">
        <v>113</v>
      </c>
      <c r="D43" s="5"/>
      <c r="E43" s="5"/>
      <c r="F43" s="85">
        <f>'Hardware Procurement'!G41</f>
        <v>3000</v>
      </c>
      <c r="G43" s="88">
        <f>'Hardware Procurement'!J41</f>
        <v>0</v>
      </c>
      <c r="H43" s="31">
        <f aca="true" t="shared" si="3" ref="H43:H50">F43*G43</f>
        <v>0</v>
      </c>
      <c r="I43" s="6"/>
    </row>
    <row r="44" spans="1:9" ht="12.75">
      <c r="A44" s="4"/>
      <c r="B44" s="5"/>
      <c r="C44" s="5" t="s">
        <v>114</v>
      </c>
      <c r="D44" s="5"/>
      <c r="E44" s="5"/>
      <c r="F44" s="85">
        <f>'Hardware Procurement'!G42</f>
        <v>1500</v>
      </c>
      <c r="G44" s="88">
        <f>'Hardware Procurement'!J42</f>
        <v>250</v>
      </c>
      <c r="H44" s="31">
        <f t="shared" si="3"/>
        <v>375000</v>
      </c>
      <c r="I44" s="6"/>
    </row>
    <row r="45" spans="1:9" ht="12.75">
      <c r="A45" s="4"/>
      <c r="B45" s="5"/>
      <c r="C45" s="5" t="s">
        <v>115</v>
      </c>
      <c r="D45" s="5"/>
      <c r="E45" s="5"/>
      <c r="F45" s="85">
        <f>'Hardware Procurement'!G43</f>
        <v>5000</v>
      </c>
      <c r="G45" s="88">
        <f>'Hardware Procurement'!J43</f>
        <v>0</v>
      </c>
      <c r="H45" s="31">
        <f t="shared" si="3"/>
        <v>0</v>
      </c>
      <c r="I45" s="6"/>
    </row>
    <row r="46" spans="1:9" ht="12.75">
      <c r="A46" s="4"/>
      <c r="B46" s="5"/>
      <c r="C46" s="5" t="s">
        <v>116</v>
      </c>
      <c r="D46" s="5"/>
      <c r="E46" s="5"/>
      <c r="F46" s="85">
        <f>'Hardware Procurement'!G44</f>
        <v>1500</v>
      </c>
      <c r="G46" s="88">
        <f>'Hardware Procurement'!J44</f>
        <v>0</v>
      </c>
      <c r="H46" s="31">
        <f t="shared" si="3"/>
        <v>0</v>
      </c>
      <c r="I46" s="6"/>
    </row>
    <row r="47" spans="1:9" ht="12.75">
      <c r="A47" s="4"/>
      <c r="B47" s="5"/>
      <c r="C47" s="5" t="s">
        <v>117</v>
      </c>
      <c r="D47" s="5"/>
      <c r="E47" s="5"/>
      <c r="F47" s="85">
        <f>'Hardware Procurement'!G45</f>
        <v>1000</v>
      </c>
      <c r="G47" s="88">
        <f>'Hardware Procurement'!J45</f>
        <v>0</v>
      </c>
      <c r="H47" s="31">
        <f t="shared" si="3"/>
        <v>0</v>
      </c>
      <c r="I47" s="6"/>
    </row>
    <row r="48" spans="1:9" ht="12.75">
      <c r="A48" s="4"/>
      <c r="B48" s="5"/>
      <c r="C48" s="5" t="s">
        <v>118</v>
      </c>
      <c r="D48" s="5"/>
      <c r="E48" s="5"/>
      <c r="F48" s="85">
        <f>'Hardware Procurement'!G46</f>
        <v>500</v>
      </c>
      <c r="G48" s="88">
        <f>'Hardware Procurement'!J46</f>
        <v>0</v>
      </c>
      <c r="H48" s="31">
        <f t="shared" si="3"/>
        <v>0</v>
      </c>
      <c r="I48" s="6"/>
    </row>
    <row r="49" spans="1:9" ht="12.75">
      <c r="A49" s="4"/>
      <c r="B49" s="5"/>
      <c r="C49" s="5" t="s">
        <v>119</v>
      </c>
      <c r="D49" s="5"/>
      <c r="E49" s="5"/>
      <c r="F49" s="85">
        <f>'Hardware Procurement'!G47</f>
        <v>480</v>
      </c>
      <c r="G49" s="88">
        <f>'Hardware Procurement'!J47</f>
        <v>0</v>
      </c>
      <c r="H49" s="31">
        <f t="shared" si="3"/>
        <v>0</v>
      </c>
      <c r="I49" s="6"/>
    </row>
    <row r="50" spans="1:9" ht="13.5" thickBot="1">
      <c r="A50" s="52"/>
      <c r="B50" s="22"/>
      <c r="C50" s="22" t="s">
        <v>120</v>
      </c>
      <c r="D50" s="22"/>
      <c r="E50" s="22"/>
      <c r="F50" s="91">
        <f>'Hardware Procurement'!G48</f>
        <v>0</v>
      </c>
      <c r="G50" s="89">
        <f>'Hardware Procurement'!J48</f>
        <v>0</v>
      </c>
      <c r="H50" s="35">
        <f t="shared" si="3"/>
        <v>0</v>
      </c>
      <c r="I50" s="6"/>
    </row>
    <row r="51" spans="1:9" ht="13.5" thickTop="1">
      <c r="A51" s="4"/>
      <c r="B51" s="5" t="s">
        <v>269</v>
      </c>
      <c r="C51" s="5"/>
      <c r="D51" s="5"/>
      <c r="E51" s="5"/>
      <c r="F51" s="31"/>
      <c r="G51" s="5"/>
      <c r="H51" s="31">
        <f>SUM(H43:H50)</f>
        <v>375000</v>
      </c>
      <c r="I51" s="6"/>
    </row>
    <row r="52" spans="1:9" ht="12.75">
      <c r="A52" s="4"/>
      <c r="B52" s="5"/>
      <c r="C52" s="5"/>
      <c r="D52" s="5"/>
      <c r="E52" s="5"/>
      <c r="F52" s="31"/>
      <c r="G52" s="5"/>
      <c r="H52" s="31"/>
      <c r="I52" s="6"/>
    </row>
    <row r="53" spans="1:9" ht="12.75">
      <c r="A53" s="4"/>
      <c r="B53" s="5"/>
      <c r="C53" s="5"/>
      <c r="D53" s="5"/>
      <c r="E53" s="5"/>
      <c r="F53" s="31"/>
      <c r="G53" s="5"/>
      <c r="H53" s="31"/>
      <c r="I53" s="6"/>
    </row>
    <row r="54" spans="1:9" ht="12.75">
      <c r="A54" s="4"/>
      <c r="B54" s="5"/>
      <c r="C54" s="5"/>
      <c r="D54" s="5"/>
      <c r="E54" s="5"/>
      <c r="F54" s="31"/>
      <c r="G54" s="5"/>
      <c r="H54" s="5"/>
      <c r="I54" s="6"/>
    </row>
    <row r="55" spans="1:9" ht="15.75">
      <c r="A55" s="14"/>
      <c r="B55" s="30" t="s">
        <v>484</v>
      </c>
      <c r="C55" s="5"/>
      <c r="D55" s="5"/>
      <c r="E55" s="5"/>
      <c r="F55" s="31"/>
      <c r="G55" s="5"/>
      <c r="H55" s="5"/>
      <c r="I55" s="6"/>
    </row>
    <row r="56" spans="1:9" ht="12.75">
      <c r="A56" s="4"/>
      <c r="B56" s="5"/>
      <c r="C56" s="5" t="s">
        <v>12</v>
      </c>
      <c r="D56" s="5"/>
      <c r="E56" s="5"/>
      <c r="F56" s="94">
        <f>'Hardware Procurement'!G51</f>
        <v>4000</v>
      </c>
      <c r="G56" s="88">
        <f>'Hardware Procurement'!J51</f>
        <v>0</v>
      </c>
      <c r="H56" s="31">
        <f aca="true" t="shared" si="4" ref="H56:H65">F56*G56</f>
        <v>0</v>
      </c>
      <c r="I56" s="6"/>
    </row>
    <row r="57" spans="1:9" ht="12.75">
      <c r="A57" s="4"/>
      <c r="B57" s="5"/>
      <c r="C57" s="5" t="s">
        <v>102</v>
      </c>
      <c r="D57" s="5"/>
      <c r="E57" s="5"/>
      <c r="F57" s="94">
        <f>'Hardware Procurement'!G52</f>
        <v>1100</v>
      </c>
      <c r="G57" s="88">
        <f>'Hardware Procurement'!J52</f>
        <v>0</v>
      </c>
      <c r="H57" s="31">
        <f t="shared" si="4"/>
        <v>0</v>
      </c>
      <c r="I57" s="6"/>
    </row>
    <row r="58" spans="1:9" ht="12.75">
      <c r="A58" s="4"/>
      <c r="B58" s="5"/>
      <c r="C58" s="5" t="s">
        <v>103</v>
      </c>
      <c r="D58" s="5"/>
      <c r="E58" s="5"/>
      <c r="F58" s="94">
        <f>'Hardware Procurement'!G53</f>
        <v>260</v>
      </c>
      <c r="G58" s="88">
        <f>'Hardware Procurement'!J53</f>
        <v>0</v>
      </c>
      <c r="H58" s="31">
        <f t="shared" si="4"/>
        <v>0</v>
      </c>
      <c r="I58" s="6"/>
    </row>
    <row r="59" spans="1:9" ht="12.75">
      <c r="A59" s="4"/>
      <c r="B59" s="5"/>
      <c r="C59" s="5" t="s">
        <v>104</v>
      </c>
      <c r="D59" s="5"/>
      <c r="E59" s="5"/>
      <c r="F59" s="94">
        <f>'Hardware Procurement'!G54</f>
        <v>800</v>
      </c>
      <c r="G59" s="88">
        <f>'Hardware Procurement'!J54</f>
        <v>0</v>
      </c>
      <c r="H59" s="31">
        <f t="shared" si="4"/>
        <v>0</v>
      </c>
      <c r="I59" s="6"/>
    </row>
    <row r="60" spans="1:9" ht="12.75">
      <c r="A60" s="4"/>
      <c r="B60" s="5"/>
      <c r="C60" s="5" t="s">
        <v>250</v>
      </c>
      <c r="D60" s="5"/>
      <c r="E60" s="5"/>
      <c r="F60" s="94">
        <f>'Hardware Procurement'!G55</f>
        <v>150</v>
      </c>
      <c r="G60" s="88">
        <f>'Hardware Procurement'!J55</f>
        <v>0</v>
      </c>
      <c r="H60" s="31">
        <f t="shared" si="4"/>
        <v>0</v>
      </c>
      <c r="I60" s="6"/>
    </row>
    <row r="61" spans="1:9" ht="12.75">
      <c r="A61" s="4"/>
      <c r="B61" s="5"/>
      <c r="C61" s="5" t="s">
        <v>105</v>
      </c>
      <c r="D61" s="5"/>
      <c r="E61" s="5"/>
      <c r="F61" s="94">
        <f>'Hardware Procurement'!G56</f>
        <v>1200</v>
      </c>
      <c r="G61" s="88">
        <f>'Hardware Procurement'!J56</f>
        <v>0</v>
      </c>
      <c r="H61" s="31">
        <f t="shared" si="4"/>
        <v>0</v>
      </c>
      <c r="I61" s="6"/>
    </row>
    <row r="62" spans="1:9" ht="12.75">
      <c r="A62" s="4"/>
      <c r="B62" s="5"/>
      <c r="C62" s="5" t="s">
        <v>251</v>
      </c>
      <c r="D62" s="5"/>
      <c r="E62" s="5"/>
      <c r="F62" s="94">
        <f>'Hardware Procurement'!G57</f>
        <v>5000</v>
      </c>
      <c r="G62" s="88">
        <f>'Hardware Procurement'!J57</f>
        <v>0</v>
      </c>
      <c r="H62" s="31">
        <f t="shared" si="4"/>
        <v>0</v>
      </c>
      <c r="I62" s="6"/>
    </row>
    <row r="63" spans="1:9" ht="12.75">
      <c r="A63" s="4"/>
      <c r="B63" s="5"/>
      <c r="C63" s="5" t="s">
        <v>252</v>
      </c>
      <c r="D63" s="5"/>
      <c r="E63" s="5"/>
      <c r="F63" s="94">
        <f>'Hardware Procurement'!G58</f>
        <v>900</v>
      </c>
      <c r="G63" s="88">
        <f>'Hardware Procurement'!J58</f>
        <v>0</v>
      </c>
      <c r="H63" s="31">
        <f t="shared" si="4"/>
        <v>0</v>
      </c>
      <c r="I63" s="6"/>
    </row>
    <row r="64" spans="1:9" ht="12.75">
      <c r="A64" s="4"/>
      <c r="B64" s="5"/>
      <c r="C64" s="5" t="s">
        <v>253</v>
      </c>
      <c r="D64" s="5"/>
      <c r="E64" s="5"/>
      <c r="F64" s="94">
        <f>'Hardware Procurement'!G59</f>
        <v>550</v>
      </c>
      <c r="G64" s="88">
        <f>'Hardware Procurement'!J59</f>
        <v>0</v>
      </c>
      <c r="H64" s="31">
        <f t="shared" si="4"/>
        <v>0</v>
      </c>
      <c r="I64" s="6"/>
    </row>
    <row r="65" spans="1:9" ht="13.5" thickBot="1">
      <c r="A65" s="52"/>
      <c r="B65" s="22"/>
      <c r="C65" s="22" t="s">
        <v>25</v>
      </c>
      <c r="D65" s="22"/>
      <c r="E65" s="22"/>
      <c r="F65" s="288">
        <f>'Hardware Procurement'!G60</f>
        <v>0</v>
      </c>
      <c r="G65" s="89">
        <f>'Hardware Procurement'!J60</f>
        <v>0</v>
      </c>
      <c r="H65" s="35">
        <f t="shared" si="4"/>
        <v>0</v>
      </c>
      <c r="I65" s="6"/>
    </row>
    <row r="66" spans="1:9" ht="13.5" thickTop="1">
      <c r="A66" s="4"/>
      <c r="B66" s="5" t="s">
        <v>269</v>
      </c>
      <c r="C66" s="5"/>
      <c r="D66" s="5"/>
      <c r="E66" s="5"/>
      <c r="F66" s="31"/>
      <c r="G66" s="162">
        <f>SUM(H56:H65)</f>
        <v>0</v>
      </c>
      <c r="H66" s="31">
        <f>G66+'Calculation Sheet'!B5</f>
        <v>4000</v>
      </c>
      <c r="I66" s="6"/>
    </row>
    <row r="67" spans="1:9" ht="12.75">
      <c r="A67" s="4"/>
      <c r="B67" s="5"/>
      <c r="C67" s="5"/>
      <c r="D67" s="5"/>
      <c r="E67" s="5"/>
      <c r="F67" s="31"/>
      <c r="G67" s="5"/>
      <c r="H67" s="31"/>
      <c r="I67" s="6"/>
    </row>
    <row r="68" spans="1:9" ht="15.75">
      <c r="A68" s="14"/>
      <c r="B68" s="30" t="s">
        <v>481</v>
      </c>
      <c r="C68" s="5"/>
      <c r="D68" s="5"/>
      <c r="E68" s="5"/>
      <c r="F68" s="31"/>
      <c r="G68" s="5"/>
      <c r="H68" s="5"/>
      <c r="I68" s="6"/>
    </row>
    <row r="69" spans="1:9" ht="12.75">
      <c r="A69" s="4"/>
      <c r="B69" s="5"/>
      <c r="C69" s="5" t="s">
        <v>256</v>
      </c>
      <c r="D69" s="5"/>
      <c r="E69" s="5"/>
      <c r="F69" s="85">
        <f>'Hardware Procurement'!G63</f>
        <v>0</v>
      </c>
      <c r="G69" s="88">
        <f>'Hardware Procurement'!J63</f>
        <v>0</v>
      </c>
      <c r="H69" s="31">
        <f aca="true" t="shared" si="5" ref="H69:H78">F69*G69</f>
        <v>0</v>
      </c>
      <c r="I69" s="6"/>
    </row>
    <row r="70" spans="1:9" ht="12.75">
      <c r="A70" s="4"/>
      <c r="B70" s="5"/>
      <c r="C70" s="5" t="s">
        <v>102</v>
      </c>
      <c r="D70" s="5"/>
      <c r="E70" s="5"/>
      <c r="F70" s="85">
        <f>'Hardware Procurement'!G64</f>
        <v>0</v>
      </c>
      <c r="G70" s="88">
        <f>'Hardware Procurement'!J64</f>
        <v>0</v>
      </c>
      <c r="H70" s="31">
        <f t="shared" si="5"/>
        <v>0</v>
      </c>
      <c r="I70" s="6"/>
    </row>
    <row r="71" spans="1:9" ht="12.75">
      <c r="A71" s="4"/>
      <c r="B71" s="5"/>
      <c r="C71" s="5" t="s">
        <v>103</v>
      </c>
      <c r="D71" s="5"/>
      <c r="E71" s="5"/>
      <c r="F71" s="85">
        <f>'Hardware Procurement'!G65</f>
        <v>0</v>
      </c>
      <c r="G71" s="88">
        <f>'Hardware Procurement'!J65</f>
        <v>0</v>
      </c>
      <c r="H71" s="31">
        <f t="shared" si="5"/>
        <v>0</v>
      </c>
      <c r="I71" s="6"/>
    </row>
    <row r="72" spans="1:9" ht="12.75">
      <c r="A72" s="4"/>
      <c r="B72" s="5"/>
      <c r="C72" s="5" t="s">
        <v>104</v>
      </c>
      <c r="D72" s="5"/>
      <c r="E72" s="5"/>
      <c r="F72" s="85">
        <f>'Hardware Procurement'!G66</f>
        <v>0</v>
      </c>
      <c r="G72" s="88">
        <f>'Hardware Procurement'!J66</f>
        <v>0</v>
      </c>
      <c r="H72" s="31">
        <f t="shared" si="5"/>
        <v>0</v>
      </c>
      <c r="I72" s="6"/>
    </row>
    <row r="73" spans="1:9" ht="12.75">
      <c r="A73" s="4"/>
      <c r="B73" s="5"/>
      <c r="C73" s="5" t="s">
        <v>250</v>
      </c>
      <c r="D73" s="5"/>
      <c r="E73" s="5"/>
      <c r="F73" s="85">
        <f>'Hardware Procurement'!G67</f>
        <v>0</v>
      </c>
      <c r="G73" s="88">
        <f>'Hardware Procurement'!J67</f>
        <v>0</v>
      </c>
      <c r="H73" s="31">
        <f t="shared" si="5"/>
        <v>0</v>
      </c>
      <c r="I73" s="6"/>
    </row>
    <row r="74" spans="1:9" ht="12.75">
      <c r="A74" s="4"/>
      <c r="B74" s="5"/>
      <c r="C74" s="5" t="s">
        <v>254</v>
      </c>
      <c r="D74" s="5"/>
      <c r="E74" s="5"/>
      <c r="F74" s="85">
        <f>'Hardware Procurement'!G68</f>
        <v>0</v>
      </c>
      <c r="G74" s="88">
        <f>'Hardware Procurement'!J68</f>
        <v>0</v>
      </c>
      <c r="H74" s="31">
        <f t="shared" si="5"/>
        <v>0</v>
      </c>
      <c r="I74" s="6"/>
    </row>
    <row r="75" spans="1:9" ht="12.75">
      <c r="A75" s="4"/>
      <c r="B75" s="5"/>
      <c r="C75" s="5" t="s">
        <v>251</v>
      </c>
      <c r="D75" s="5"/>
      <c r="E75" s="5"/>
      <c r="F75" s="85">
        <f>'Hardware Procurement'!G69</f>
        <v>0</v>
      </c>
      <c r="G75" s="88">
        <f>'Hardware Procurement'!J69</f>
        <v>0</v>
      </c>
      <c r="H75" s="31">
        <f t="shared" si="5"/>
        <v>0</v>
      </c>
      <c r="I75" s="6"/>
    </row>
    <row r="76" spans="1:9" ht="12.75">
      <c r="A76" s="4"/>
      <c r="B76" s="5"/>
      <c r="C76" s="5" t="s">
        <v>255</v>
      </c>
      <c r="D76" s="5"/>
      <c r="E76" s="5"/>
      <c r="F76" s="85">
        <f>'Hardware Procurement'!G70</f>
        <v>0</v>
      </c>
      <c r="G76" s="88">
        <f>'Hardware Procurement'!J70</f>
        <v>0</v>
      </c>
      <c r="H76" s="31">
        <f t="shared" si="5"/>
        <v>0</v>
      </c>
      <c r="I76" s="6"/>
    </row>
    <row r="77" spans="1:9" ht="12.75">
      <c r="A77" s="4"/>
      <c r="B77" s="5"/>
      <c r="C77" s="5" t="s">
        <v>106</v>
      </c>
      <c r="D77" s="5"/>
      <c r="E77" s="5"/>
      <c r="F77" s="85">
        <f>'Hardware Procurement'!G71</f>
        <v>0</v>
      </c>
      <c r="G77" s="88">
        <f>'Hardware Procurement'!J71</f>
        <v>0</v>
      </c>
      <c r="H77" s="31">
        <f t="shared" si="5"/>
        <v>0</v>
      </c>
      <c r="I77" s="6"/>
    </row>
    <row r="78" spans="1:9" ht="13.5" thickBot="1">
      <c r="A78" s="52"/>
      <c r="B78" s="22"/>
      <c r="C78" s="22" t="s">
        <v>25</v>
      </c>
      <c r="D78" s="22"/>
      <c r="E78" s="22"/>
      <c r="F78" s="91">
        <f>'Hardware Procurement'!G72</f>
        <v>0</v>
      </c>
      <c r="G78" s="89">
        <f>'Hardware Procurement'!J72</f>
        <v>0</v>
      </c>
      <c r="H78" s="35">
        <f t="shared" si="5"/>
        <v>0</v>
      </c>
      <c r="I78" s="6"/>
    </row>
    <row r="79" spans="1:9" ht="13.5" thickTop="1">
      <c r="A79" s="4"/>
      <c r="B79" s="5" t="s">
        <v>269</v>
      </c>
      <c r="C79" s="5"/>
      <c r="D79" s="5"/>
      <c r="E79" s="5"/>
      <c r="F79" s="31"/>
      <c r="G79" s="162">
        <f>SUM(H69:H78)</f>
        <v>0</v>
      </c>
      <c r="H79" s="31">
        <f>G79+'Calculation Sheet'!B3</f>
        <v>62500</v>
      </c>
      <c r="I79" s="6"/>
    </row>
    <row r="80" spans="1:9" ht="13.5" thickBot="1">
      <c r="A80" s="4"/>
      <c r="B80" s="5"/>
      <c r="C80" s="5"/>
      <c r="D80" s="5"/>
      <c r="E80" s="5"/>
      <c r="F80" s="31"/>
      <c r="G80" s="5"/>
      <c r="H80" s="5"/>
      <c r="I80" s="6"/>
    </row>
    <row r="81" spans="1:9" ht="13.5" thickBot="1">
      <c r="A81" s="4"/>
      <c r="B81" s="61" t="s">
        <v>121</v>
      </c>
      <c r="C81" s="62"/>
      <c r="D81" s="62"/>
      <c r="E81" s="62"/>
      <c r="F81" s="63"/>
      <c r="G81" s="62"/>
      <c r="H81" s="64">
        <f>SUM(H79,H66,H51,H40,H29,H16)</f>
        <v>2436921.5384615385</v>
      </c>
      <c r="I81" s="6"/>
    </row>
    <row r="82" spans="1:9" ht="12.75">
      <c r="A82" s="4"/>
      <c r="B82" s="5"/>
      <c r="C82" s="5"/>
      <c r="D82" s="5"/>
      <c r="E82" s="5"/>
      <c r="F82" s="5"/>
      <c r="G82" s="5"/>
      <c r="H82" s="5"/>
      <c r="I82" s="6"/>
    </row>
    <row r="83" spans="1:9" ht="13.5" thickBot="1">
      <c r="A83" s="7"/>
      <c r="B83" s="8"/>
      <c r="C83" s="8"/>
      <c r="D83" s="8"/>
      <c r="E83" s="8"/>
      <c r="F83" s="8"/>
      <c r="G83" s="8"/>
      <c r="H83" s="8"/>
      <c r="I83" s="9"/>
    </row>
    <row r="84" ht="13.5" thickTop="1"/>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60">
      <c r="A93" s="134" t="s">
        <v>249</v>
      </c>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12.75">
      <c r="A95" s="133"/>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60">
      <c r="A101" s="134"/>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12.75">
      <c r="A103" s="133"/>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row r="105" spans="1:15" ht="12.75">
      <c r="A105" s="133"/>
      <c r="B105" s="133"/>
      <c r="C105" s="133"/>
      <c r="D105" s="133"/>
      <c r="E105" s="133"/>
      <c r="F105" s="133"/>
      <c r="G105" s="133"/>
      <c r="H105" s="133"/>
      <c r="I105" s="133"/>
      <c r="J105" s="133"/>
      <c r="K105" s="133"/>
      <c r="L105" s="133"/>
      <c r="M105" s="133"/>
      <c r="N105" s="133"/>
      <c r="O105" s="133"/>
    </row>
    <row r="106" spans="1:15" ht="12.75">
      <c r="A106" s="133"/>
      <c r="B106" s="133"/>
      <c r="C106" s="133"/>
      <c r="D106" s="133"/>
      <c r="E106" s="133"/>
      <c r="F106" s="133"/>
      <c r="G106" s="133"/>
      <c r="H106" s="133"/>
      <c r="I106" s="133"/>
      <c r="J106" s="133"/>
      <c r="K106" s="133"/>
      <c r="L106" s="133"/>
      <c r="M106" s="133"/>
      <c r="N106" s="133"/>
      <c r="O106" s="133"/>
    </row>
    <row r="107" spans="1:15" ht="12.75">
      <c r="A107" s="133"/>
      <c r="B107" s="133"/>
      <c r="C107" s="133"/>
      <c r="D107" s="133"/>
      <c r="E107" s="133"/>
      <c r="F107" s="133"/>
      <c r="G107" s="133"/>
      <c r="H107" s="133"/>
      <c r="I107" s="133"/>
      <c r="J107" s="133"/>
      <c r="K107" s="133"/>
      <c r="L107" s="133"/>
      <c r="M107" s="133"/>
      <c r="N107" s="133"/>
      <c r="O107" s="133"/>
    </row>
    <row r="108" spans="1:15" ht="12.75">
      <c r="A108" s="133"/>
      <c r="B108" s="133"/>
      <c r="C108" s="133"/>
      <c r="D108" s="133"/>
      <c r="E108" s="133"/>
      <c r="F108" s="133"/>
      <c r="G108" s="133"/>
      <c r="H108" s="133"/>
      <c r="I108" s="133"/>
      <c r="J108" s="133"/>
      <c r="K108" s="133"/>
      <c r="L108" s="133"/>
      <c r="M108" s="133"/>
      <c r="N108" s="133"/>
      <c r="O108" s="133"/>
    </row>
    <row r="109" spans="1:15" ht="12.75">
      <c r="A109" s="133"/>
      <c r="B109" s="133"/>
      <c r="C109" s="133"/>
      <c r="D109" s="133"/>
      <c r="E109" s="133"/>
      <c r="F109" s="133"/>
      <c r="G109" s="133"/>
      <c r="H109" s="133"/>
      <c r="I109" s="133"/>
      <c r="J109" s="133"/>
      <c r="K109" s="133"/>
      <c r="L109" s="133"/>
      <c r="M109" s="133"/>
      <c r="N109" s="133"/>
      <c r="O109" s="133"/>
    </row>
    <row r="110" spans="1:15" ht="12.75">
      <c r="A110" s="133"/>
      <c r="B110" s="133"/>
      <c r="C110" s="133"/>
      <c r="D110" s="133"/>
      <c r="E110" s="133"/>
      <c r="F110" s="133"/>
      <c r="G110" s="133"/>
      <c r="H110" s="133"/>
      <c r="I110" s="133"/>
      <c r="J110" s="133"/>
      <c r="K110" s="133"/>
      <c r="L110" s="133"/>
      <c r="M110" s="133"/>
      <c r="N110" s="133"/>
      <c r="O110" s="133"/>
    </row>
    <row r="111" spans="1:15" ht="12.75">
      <c r="A111" s="133"/>
      <c r="B111" s="133"/>
      <c r="C111" s="133"/>
      <c r="D111" s="133"/>
      <c r="E111" s="133"/>
      <c r="F111" s="133"/>
      <c r="G111" s="133"/>
      <c r="H111" s="133"/>
      <c r="I111" s="133"/>
      <c r="J111" s="133"/>
      <c r="K111" s="133"/>
      <c r="L111" s="133"/>
      <c r="M111" s="133"/>
      <c r="N111" s="133"/>
      <c r="O111" s="133"/>
    </row>
    <row r="112" spans="1:15" ht="60">
      <c r="A112" s="133"/>
      <c r="B112" s="133"/>
      <c r="C112" s="133"/>
      <c r="D112" s="134"/>
      <c r="E112" s="133"/>
      <c r="F112" s="133"/>
      <c r="G112" s="133"/>
      <c r="H112" s="133"/>
      <c r="I112" s="133"/>
      <c r="J112" s="133"/>
      <c r="K112" s="133"/>
      <c r="L112" s="133"/>
      <c r="M112" s="133"/>
      <c r="N112" s="133"/>
      <c r="O112" s="133"/>
    </row>
    <row r="113" spans="1:15" ht="12.75">
      <c r="A113" s="133"/>
      <c r="B113" s="133"/>
      <c r="C113" s="133"/>
      <c r="D113" s="133"/>
      <c r="E113" s="133"/>
      <c r="F113" s="133"/>
      <c r="G113" s="133"/>
      <c r="H113" s="133"/>
      <c r="I113" s="133"/>
      <c r="J113" s="133"/>
      <c r="K113" s="133"/>
      <c r="L113" s="133"/>
      <c r="M113" s="133"/>
      <c r="N113" s="133"/>
      <c r="O113" s="133"/>
    </row>
    <row r="114" spans="1:15" ht="12.75">
      <c r="A114" s="133"/>
      <c r="B114" s="133"/>
      <c r="C114" s="133"/>
      <c r="D114" s="133"/>
      <c r="E114" s="133"/>
      <c r="F114" s="133"/>
      <c r="G114" s="133"/>
      <c r="H114" s="133"/>
      <c r="I114" s="133"/>
      <c r="J114" s="133"/>
      <c r="K114" s="133"/>
      <c r="L114" s="133"/>
      <c r="M114" s="133"/>
      <c r="N114" s="133"/>
      <c r="O114" s="133"/>
    </row>
    <row r="115" spans="1:15" ht="12.75">
      <c r="A115" s="133"/>
      <c r="B115" s="133"/>
      <c r="C115" s="133"/>
      <c r="D115" s="133"/>
      <c r="E115" s="133"/>
      <c r="F115" s="133"/>
      <c r="G115" s="133"/>
      <c r="H115" s="133"/>
      <c r="I115" s="133"/>
      <c r="J115" s="133"/>
      <c r="K115" s="133"/>
      <c r="L115" s="133"/>
      <c r="M115" s="133"/>
      <c r="N115" s="133"/>
      <c r="O115" s="133"/>
    </row>
    <row r="116" spans="1:15" ht="12.75">
      <c r="A116" s="133"/>
      <c r="B116" s="133"/>
      <c r="C116" s="133"/>
      <c r="D116" s="133"/>
      <c r="E116" s="133"/>
      <c r="F116" s="133"/>
      <c r="G116" s="133"/>
      <c r="H116" s="133"/>
      <c r="I116" s="133"/>
      <c r="J116" s="133"/>
      <c r="K116" s="133"/>
      <c r="L116" s="133"/>
      <c r="M116" s="133"/>
      <c r="N116" s="133"/>
      <c r="O116" s="133"/>
    </row>
    <row r="117" spans="1:15" ht="12.75">
      <c r="A117" s="133"/>
      <c r="B117" s="133"/>
      <c r="C117" s="133"/>
      <c r="D117" s="133"/>
      <c r="E117" s="133"/>
      <c r="F117" s="133"/>
      <c r="G117" s="133"/>
      <c r="H117" s="133"/>
      <c r="I117" s="133"/>
      <c r="J117" s="133"/>
      <c r="K117" s="133"/>
      <c r="L117" s="133"/>
      <c r="M117" s="133"/>
      <c r="N117" s="133"/>
      <c r="O117" s="133"/>
    </row>
    <row r="118" spans="1:15" ht="12.75">
      <c r="A118" s="133"/>
      <c r="B118" s="133"/>
      <c r="C118" s="133"/>
      <c r="D118" s="133"/>
      <c r="E118" s="133"/>
      <c r="F118" s="133"/>
      <c r="G118" s="133"/>
      <c r="H118" s="133"/>
      <c r="I118" s="133"/>
      <c r="J118" s="133"/>
      <c r="K118" s="133"/>
      <c r="L118" s="133"/>
      <c r="M118" s="133"/>
      <c r="N118" s="133"/>
      <c r="O118" s="133"/>
    </row>
    <row r="119" spans="1:15" ht="12.75">
      <c r="A119" s="133"/>
      <c r="B119" s="133"/>
      <c r="C119" s="133"/>
      <c r="D119" s="133"/>
      <c r="E119" s="133"/>
      <c r="F119" s="133"/>
      <c r="G119" s="133"/>
      <c r="H119" s="133"/>
      <c r="I119" s="133"/>
      <c r="J119" s="133"/>
      <c r="K119" s="133"/>
      <c r="L119" s="133"/>
      <c r="M119" s="133"/>
      <c r="N119" s="133"/>
      <c r="O119" s="133"/>
    </row>
    <row r="120" spans="1:15" ht="12.75">
      <c r="A120" s="133"/>
      <c r="B120" s="133"/>
      <c r="C120" s="133"/>
      <c r="D120" s="133"/>
      <c r="E120" s="133"/>
      <c r="F120" s="133"/>
      <c r="G120" s="133"/>
      <c r="H120" s="133"/>
      <c r="I120" s="133"/>
      <c r="J120" s="133"/>
      <c r="K120" s="133"/>
      <c r="L120" s="133"/>
      <c r="M120" s="133"/>
      <c r="N120" s="133"/>
      <c r="O120" s="133"/>
    </row>
    <row r="121" spans="1:15" ht="12.75">
      <c r="A121" s="133"/>
      <c r="B121" s="133"/>
      <c r="C121" s="133"/>
      <c r="D121" s="133"/>
      <c r="E121" s="133"/>
      <c r="F121" s="133"/>
      <c r="G121" s="133"/>
      <c r="H121" s="133"/>
      <c r="I121" s="133"/>
      <c r="J121" s="133"/>
      <c r="K121" s="133"/>
      <c r="L121" s="133"/>
      <c r="M121" s="133"/>
      <c r="N121" s="133"/>
      <c r="O121" s="133"/>
    </row>
    <row r="122" spans="1:15" ht="12.75">
      <c r="A122" s="133"/>
      <c r="B122" s="133"/>
      <c r="C122" s="133"/>
      <c r="D122" s="133"/>
      <c r="E122" s="133"/>
      <c r="F122" s="133"/>
      <c r="G122" s="133"/>
      <c r="H122" s="133"/>
      <c r="I122" s="133"/>
      <c r="J122" s="133"/>
      <c r="K122" s="133"/>
      <c r="L122" s="133"/>
      <c r="M122" s="133"/>
      <c r="N122" s="133"/>
      <c r="O122" s="133"/>
    </row>
    <row r="123" spans="1:15" ht="12.75">
      <c r="A123" s="133"/>
      <c r="B123" s="133"/>
      <c r="C123" s="133"/>
      <c r="D123" s="133"/>
      <c r="E123" s="133"/>
      <c r="F123" s="133"/>
      <c r="G123" s="133"/>
      <c r="H123" s="133"/>
      <c r="I123" s="133"/>
      <c r="J123" s="133"/>
      <c r="K123" s="133"/>
      <c r="L123" s="133"/>
      <c r="M123" s="133"/>
      <c r="N123" s="133"/>
      <c r="O123" s="133"/>
    </row>
    <row r="124" spans="1:15" ht="12.75">
      <c r="A124" s="133"/>
      <c r="B124" s="133"/>
      <c r="C124" s="133"/>
      <c r="D124" s="133"/>
      <c r="E124" s="133"/>
      <c r="F124" s="133"/>
      <c r="G124" s="133"/>
      <c r="H124" s="133"/>
      <c r="I124" s="133"/>
      <c r="J124" s="133"/>
      <c r="K124" s="133"/>
      <c r="L124" s="133"/>
      <c r="M124" s="133"/>
      <c r="N124" s="133"/>
      <c r="O124" s="133"/>
    </row>
    <row r="125" spans="1:15" ht="12.75">
      <c r="A125" s="133"/>
      <c r="B125" s="133"/>
      <c r="C125" s="133"/>
      <c r="D125" s="133"/>
      <c r="E125" s="133"/>
      <c r="F125" s="133"/>
      <c r="G125" s="133"/>
      <c r="H125" s="133"/>
      <c r="I125" s="133"/>
      <c r="J125" s="133"/>
      <c r="K125" s="133"/>
      <c r="L125" s="133"/>
      <c r="M125" s="133"/>
      <c r="N125" s="133"/>
      <c r="O125" s="133"/>
    </row>
    <row r="126" spans="1:15" ht="12.75">
      <c r="A126" s="133"/>
      <c r="B126" s="133"/>
      <c r="C126" s="133"/>
      <c r="D126" s="133"/>
      <c r="E126" s="133"/>
      <c r="F126" s="133"/>
      <c r="G126" s="133"/>
      <c r="H126" s="133"/>
      <c r="I126" s="133"/>
      <c r="J126" s="133"/>
      <c r="K126" s="133"/>
      <c r="L126" s="133"/>
      <c r="M126" s="133"/>
      <c r="N126" s="133"/>
      <c r="O126" s="133"/>
    </row>
    <row r="127" spans="1:15" ht="12.75">
      <c r="A127" s="133"/>
      <c r="B127" s="133"/>
      <c r="C127" s="133"/>
      <c r="D127" s="133"/>
      <c r="E127" s="133"/>
      <c r="F127" s="133"/>
      <c r="G127" s="133"/>
      <c r="H127" s="133"/>
      <c r="I127" s="133"/>
      <c r="J127" s="133"/>
      <c r="K127" s="133"/>
      <c r="L127" s="133"/>
      <c r="M127" s="133"/>
      <c r="N127" s="133"/>
      <c r="O127" s="133"/>
    </row>
    <row r="128" spans="1:15" ht="12.75">
      <c r="A128" s="133"/>
      <c r="B128" s="133"/>
      <c r="C128" s="133"/>
      <c r="D128" s="133"/>
      <c r="E128" s="133"/>
      <c r="F128" s="133"/>
      <c r="G128" s="133"/>
      <c r="H128" s="133"/>
      <c r="I128" s="133"/>
      <c r="J128" s="133"/>
      <c r="K128" s="133"/>
      <c r="L128" s="133"/>
      <c r="M128" s="133"/>
      <c r="N128" s="133"/>
      <c r="O128" s="133"/>
    </row>
    <row r="129" spans="1:15" ht="12.75">
      <c r="A129" s="133"/>
      <c r="B129" s="133"/>
      <c r="C129" s="133"/>
      <c r="D129" s="133"/>
      <c r="E129" s="133"/>
      <c r="F129" s="133"/>
      <c r="G129" s="133"/>
      <c r="H129" s="133"/>
      <c r="I129" s="133"/>
      <c r="J129" s="133"/>
      <c r="K129" s="133"/>
      <c r="L129" s="133"/>
      <c r="M129" s="133"/>
      <c r="N129" s="133"/>
      <c r="O129" s="133"/>
    </row>
  </sheetData>
  <sheetProtection password="D023" sheet="1" objects="1" scenarios="1"/>
  <printOptions/>
  <pageMargins left="0.75" right="0.75" top="1" bottom="1" header="0.5" footer="0.5"/>
  <pageSetup fitToHeight="1" fitToWidth="1" horizontalDpi="600" verticalDpi="600" orientation="portrait" scale="57" r:id="rId1"/>
  <headerFooter alignWithMargins="0">
    <oddHeader>&amp;CTotal Cost of Application Ownership (TCA) Calculator</oddHeader>
    <oddFooter>&amp;LThe Tolly Group TCA Calculator&amp;R© The Tolly Group, 1999</oddFooter>
  </headerFooter>
  <rowBreaks count="1" manualBreakCount="1">
    <brk id="53" max="8" man="1"/>
  </rowBreaks>
</worksheet>
</file>

<file path=xl/worksheets/sheet51.xml><?xml version="1.0" encoding="utf-8"?>
<worksheet xmlns="http://schemas.openxmlformats.org/spreadsheetml/2006/main" xmlns:r="http://schemas.openxmlformats.org/officeDocument/2006/relationships">
  <sheetPr codeName="Sheet1311">
    <pageSetUpPr fitToPage="1"/>
  </sheetPr>
  <dimension ref="A1:O94"/>
  <sheetViews>
    <sheetView workbookViewId="0" topLeftCell="A55">
      <selection activeCell="B48" sqref="B48"/>
    </sheetView>
  </sheetViews>
  <sheetFormatPr defaultColWidth="9.140625" defaultRowHeight="12.75"/>
  <cols>
    <col min="2" max="2" width="11.421875" style="0" customWidth="1"/>
    <col min="3" max="3" width="17.57421875" style="0" customWidth="1"/>
    <col min="5" max="5" width="15.57421875" style="0" customWidth="1"/>
    <col min="6" max="6" width="14.00390625" style="0" customWidth="1"/>
    <col min="7" max="7" width="16.140625" style="0" customWidth="1"/>
  </cols>
  <sheetData>
    <row r="1" spans="1:8" ht="15.75" thickTop="1">
      <c r="A1" s="34" t="s">
        <v>192</v>
      </c>
      <c r="B1" s="3"/>
      <c r="C1" s="3"/>
      <c r="D1" s="3"/>
      <c r="E1" s="3"/>
      <c r="F1" s="3"/>
      <c r="G1" s="3"/>
      <c r="H1" s="13"/>
    </row>
    <row r="2" spans="1:8" ht="12.75">
      <c r="A2" s="4"/>
      <c r="B2" s="5"/>
      <c r="C2" s="5"/>
      <c r="D2" s="5"/>
      <c r="E2" s="5"/>
      <c r="F2" s="5"/>
      <c r="G2" s="5"/>
      <c r="H2" s="6"/>
    </row>
    <row r="3" spans="1:8" ht="15.75">
      <c r="A3" s="4"/>
      <c r="B3" s="30" t="s">
        <v>485</v>
      </c>
      <c r="C3" s="5"/>
      <c r="D3" s="5"/>
      <c r="E3" s="5"/>
      <c r="F3" s="5"/>
      <c r="G3" s="5"/>
      <c r="H3" s="6"/>
    </row>
    <row r="4" spans="1:8" ht="12.75">
      <c r="A4" s="4"/>
      <c r="B4" s="5"/>
      <c r="C4" s="5"/>
      <c r="D4" s="5"/>
      <c r="E4" s="5"/>
      <c r="F4" s="5"/>
      <c r="G4" s="5"/>
      <c r="H4" s="6"/>
    </row>
    <row r="5" spans="1:8" ht="12.75">
      <c r="A5" s="4"/>
      <c r="B5" s="15" t="s">
        <v>486</v>
      </c>
      <c r="C5" s="5"/>
      <c r="D5" s="5"/>
      <c r="E5" s="5" t="s">
        <v>268</v>
      </c>
      <c r="F5" s="5" t="s">
        <v>101</v>
      </c>
      <c r="G5" s="101" t="s">
        <v>514</v>
      </c>
      <c r="H5" s="6"/>
    </row>
    <row r="6" spans="1:8" ht="12.75">
      <c r="A6" s="4"/>
      <c r="B6" s="5"/>
      <c r="C6" s="5" t="s">
        <v>225</v>
      </c>
      <c r="D6" s="5"/>
      <c r="E6" s="189">
        <f>'Detailed Data'!H26</f>
        <v>60000</v>
      </c>
      <c r="F6" s="111">
        <f>'Front End'!G43</f>
        <v>3</v>
      </c>
      <c r="G6" s="95">
        <v>180000</v>
      </c>
      <c r="H6" s="6"/>
    </row>
    <row r="7" spans="1:8" ht="13.5" thickBot="1">
      <c r="A7" s="4"/>
      <c r="B7" s="22"/>
      <c r="C7" s="22" t="s">
        <v>226</v>
      </c>
      <c r="D7" s="22"/>
      <c r="E7" s="188">
        <f>'Detailed Data'!H27</f>
        <v>30000</v>
      </c>
      <c r="F7" s="98">
        <f>'Front End'!G45</f>
        <v>6</v>
      </c>
      <c r="G7" s="151">
        <v>331200</v>
      </c>
      <c r="H7" s="6"/>
    </row>
    <row r="8" spans="1:8" ht="13.5" thickTop="1">
      <c r="A8" s="4"/>
      <c r="B8" s="5" t="s">
        <v>269</v>
      </c>
      <c r="C8" s="5"/>
      <c r="D8" s="5"/>
      <c r="E8" s="5"/>
      <c r="F8" s="5"/>
      <c r="G8" s="31">
        <f>SUM(G6:G7)</f>
        <v>511200</v>
      </c>
      <c r="H8" s="6"/>
    </row>
    <row r="9" spans="1:8" ht="12.75">
      <c r="A9" s="4"/>
      <c r="B9" s="5"/>
      <c r="C9" s="5"/>
      <c r="D9" s="5"/>
      <c r="E9" s="5"/>
      <c r="F9" s="5"/>
      <c r="G9" s="31"/>
      <c r="H9" s="6"/>
    </row>
    <row r="10" spans="1:8" ht="12.75">
      <c r="A10" s="4"/>
      <c r="B10" s="15" t="s">
        <v>487</v>
      </c>
      <c r="C10" s="5"/>
      <c r="D10" s="5"/>
      <c r="E10" s="5" t="s">
        <v>160</v>
      </c>
      <c r="F10" s="5" t="s">
        <v>161</v>
      </c>
      <c r="G10" s="31"/>
      <c r="H10" s="6"/>
    </row>
    <row r="11" spans="1:8" ht="12.75">
      <c r="A11" s="4"/>
      <c r="B11" s="5"/>
      <c r="C11" s="5" t="s">
        <v>122</v>
      </c>
      <c r="D11" s="5"/>
      <c r="E11" s="189">
        <f>'Detailed Data'!G29</f>
        <v>2000</v>
      </c>
      <c r="F11" s="189">
        <f>'Detailed Data'!H29</f>
        <v>250</v>
      </c>
      <c r="G11" s="31">
        <f>SUM(F11*12+E11)</f>
        <v>5000</v>
      </c>
      <c r="H11" s="6"/>
    </row>
    <row r="12" spans="1:8" ht="12.75">
      <c r="A12" s="4"/>
      <c r="B12" s="5"/>
      <c r="C12" s="5" t="s">
        <v>257</v>
      </c>
      <c r="D12" s="5"/>
      <c r="E12" s="189">
        <f>'Detailed Data'!G30</f>
        <v>1500</v>
      </c>
      <c r="F12" s="189">
        <f>'Detailed Data'!H30</f>
        <v>300</v>
      </c>
      <c r="G12" s="31">
        <f>SUM(F12*12+E12)</f>
        <v>5100</v>
      </c>
      <c r="H12" s="6"/>
    </row>
    <row r="13" spans="1:8" ht="12.75">
      <c r="A13" s="4"/>
      <c r="B13" s="5"/>
      <c r="C13" s="5" t="s">
        <v>123</v>
      </c>
      <c r="D13" s="5"/>
      <c r="E13" s="189">
        <f>'Detailed Data'!G31</f>
        <v>800</v>
      </c>
      <c r="F13" s="189">
        <f>'Detailed Data'!H31</f>
        <v>500</v>
      </c>
      <c r="G13" s="31">
        <f>SUM(F13*12+E13)</f>
        <v>6800</v>
      </c>
      <c r="H13" s="6"/>
    </row>
    <row r="14" spans="1:8" ht="12.75">
      <c r="A14" s="4"/>
      <c r="B14" s="5"/>
      <c r="C14" s="5" t="s">
        <v>124</v>
      </c>
      <c r="D14" s="5"/>
      <c r="E14" s="189">
        <f>'Detailed Data'!G32</f>
        <v>0</v>
      </c>
      <c r="F14" s="189">
        <f>'Detailed Data'!H32</f>
        <v>200</v>
      </c>
      <c r="G14" s="31">
        <f>SUM(F14*12+E14)</f>
        <v>2400</v>
      </c>
      <c r="H14" s="6"/>
    </row>
    <row r="15" spans="1:8" ht="13.5" thickBot="1">
      <c r="A15" s="4"/>
      <c r="B15" s="22"/>
      <c r="C15" s="22" t="s">
        <v>125</v>
      </c>
      <c r="D15" s="22"/>
      <c r="E15" s="188">
        <f>'Detailed Data'!G33</f>
        <v>0</v>
      </c>
      <c r="F15" s="188">
        <f>'Detailed Data'!H33</f>
        <v>0</v>
      </c>
      <c r="G15" s="35">
        <f>SUM(F15*12+E15)</f>
        <v>0</v>
      </c>
      <c r="H15" s="6"/>
    </row>
    <row r="16" spans="1:8" ht="13.5" thickTop="1">
      <c r="A16" s="4"/>
      <c r="B16" s="5" t="s">
        <v>269</v>
      </c>
      <c r="C16" s="5"/>
      <c r="D16" s="5"/>
      <c r="E16" s="5"/>
      <c r="F16" s="5"/>
      <c r="G16" s="31">
        <f>SUM(G11:G15)</f>
        <v>19300</v>
      </c>
      <c r="H16" s="6"/>
    </row>
    <row r="17" spans="1:8" ht="12.75">
      <c r="A17" s="4"/>
      <c r="B17" s="5"/>
      <c r="C17" s="5"/>
      <c r="D17" s="5"/>
      <c r="E17" s="5"/>
      <c r="F17" s="5"/>
      <c r="G17" s="31"/>
      <c r="H17" s="6"/>
    </row>
    <row r="18" spans="1:8" ht="12.75">
      <c r="A18" s="4"/>
      <c r="B18" s="15" t="s">
        <v>488</v>
      </c>
      <c r="C18" s="5"/>
      <c r="D18" s="5"/>
      <c r="E18" s="81"/>
      <c r="F18" s="81"/>
      <c r="G18" s="31"/>
      <c r="H18" s="6"/>
    </row>
    <row r="19" spans="1:8" ht="12.75">
      <c r="A19" s="4"/>
      <c r="B19" s="5"/>
      <c r="C19" s="5" t="s">
        <v>171</v>
      </c>
      <c r="D19" s="5"/>
      <c r="E19" s="189">
        <f>'Detailed Data'!G35</f>
        <v>100</v>
      </c>
      <c r="F19" s="189">
        <f>'Detailed Data'!H35</f>
        <v>35</v>
      </c>
      <c r="G19" s="95">
        <v>156000</v>
      </c>
      <c r="H19" s="6"/>
    </row>
    <row r="20" spans="1:8" ht="12.75">
      <c r="A20" s="4"/>
      <c r="B20" s="5"/>
      <c r="C20" s="5" t="s">
        <v>17</v>
      </c>
      <c r="D20" s="5"/>
      <c r="E20" s="189">
        <f>'Detailed Data'!G36</f>
        <v>150</v>
      </c>
      <c r="F20" s="189">
        <f>'Detailed Data'!H36</f>
        <v>50</v>
      </c>
      <c r="G20" s="95">
        <v>0</v>
      </c>
      <c r="H20" s="6"/>
    </row>
    <row r="21" spans="1:8" ht="13.5" thickBot="1">
      <c r="A21" s="4"/>
      <c r="B21" s="22"/>
      <c r="C21" s="22" t="s">
        <v>20</v>
      </c>
      <c r="D21" s="22"/>
      <c r="E21" s="188">
        <f>'Detailed Data'!G37</f>
        <v>120</v>
      </c>
      <c r="F21" s="188">
        <f>'Detailed Data'!H37</f>
        <v>60</v>
      </c>
      <c r="G21" s="152">
        <v>0</v>
      </c>
      <c r="H21" s="6"/>
    </row>
    <row r="22" spans="1:8" ht="13.5" thickTop="1">
      <c r="A22" s="4"/>
      <c r="B22" s="5"/>
      <c r="C22" s="5"/>
      <c r="D22" s="5"/>
      <c r="E22" s="5"/>
      <c r="F22" s="5"/>
      <c r="G22" s="31">
        <f>SUM(G19:G21)</f>
        <v>156000</v>
      </c>
      <c r="H22" s="6"/>
    </row>
    <row r="23" spans="1:8" ht="12.75">
      <c r="A23" s="4"/>
      <c r="B23" s="5"/>
      <c r="C23" s="5"/>
      <c r="D23" s="5"/>
      <c r="E23" s="5"/>
      <c r="F23" s="5"/>
      <c r="G23" s="31"/>
      <c r="H23" s="6"/>
    </row>
    <row r="24" spans="1:8" ht="12.75">
      <c r="A24" s="4"/>
      <c r="B24" s="127" t="s">
        <v>489</v>
      </c>
      <c r="C24" s="5"/>
      <c r="D24" s="128" t="s">
        <v>235</v>
      </c>
      <c r="E24" s="5" t="s">
        <v>160</v>
      </c>
      <c r="F24" s="5" t="s">
        <v>161</v>
      </c>
      <c r="G24" s="31"/>
      <c r="H24" s="6"/>
    </row>
    <row r="25" spans="1:8" ht="12.75">
      <c r="A25" s="4"/>
      <c r="B25" s="5"/>
      <c r="C25" s="126" t="s">
        <v>20</v>
      </c>
      <c r="D25" s="5">
        <f>'Front End'!F48</f>
        <v>0</v>
      </c>
      <c r="E25" s="189">
        <f>'Detailed Data'!G39</f>
        <v>120</v>
      </c>
      <c r="F25" s="189">
        <f>'Detailed Data'!H39</f>
        <v>150</v>
      </c>
      <c r="G25" s="31">
        <f>(SUM(F25*12+E25))*D25</f>
        <v>0</v>
      </c>
      <c r="H25" s="6"/>
    </row>
    <row r="26" spans="1:8" ht="12.75">
      <c r="A26" s="4"/>
      <c r="B26" s="5"/>
      <c r="C26" s="126" t="s">
        <v>234</v>
      </c>
      <c r="D26" s="5">
        <f>'Front End'!F49</f>
        <v>2</v>
      </c>
      <c r="E26" s="189">
        <f>'Detailed Data'!G40</f>
        <v>350</v>
      </c>
      <c r="F26" s="189">
        <f>'Detailed Data'!H40</f>
        <v>550</v>
      </c>
      <c r="G26" s="31">
        <f>(SUM(F26*12+E26))*D26</f>
        <v>13900</v>
      </c>
      <c r="H26" s="6"/>
    </row>
    <row r="27" spans="1:8" ht="12.75">
      <c r="A27" s="4"/>
      <c r="B27" s="5"/>
      <c r="C27" s="126" t="s">
        <v>14</v>
      </c>
      <c r="D27" s="5">
        <f>'Front End'!F50</f>
        <v>4</v>
      </c>
      <c r="E27" s="189">
        <f>'Detailed Data'!G41</f>
        <v>350</v>
      </c>
      <c r="F27" s="189">
        <f>'Detailed Data'!H41</f>
        <v>1000</v>
      </c>
      <c r="G27" s="31">
        <f>(SUM(F27*12+E27))*D27</f>
        <v>49400</v>
      </c>
      <c r="H27" s="6"/>
    </row>
    <row r="28" spans="1:8" ht="12.75">
      <c r="A28" s="4"/>
      <c r="B28" s="5"/>
      <c r="C28" s="126" t="s">
        <v>185</v>
      </c>
      <c r="D28" s="5">
        <f>'Front End'!F51</f>
        <v>0</v>
      </c>
      <c r="E28" s="189">
        <f>'Detailed Data'!G42</f>
        <v>350</v>
      </c>
      <c r="F28" s="189">
        <f>'Detailed Data'!H42</f>
        <v>1300</v>
      </c>
      <c r="G28" s="31">
        <f>(SUM(F28*12+E28))*D28</f>
        <v>0</v>
      </c>
      <c r="H28" s="6"/>
    </row>
    <row r="29" spans="1:8" ht="12.75">
      <c r="A29" s="4"/>
      <c r="B29" s="5"/>
      <c r="C29" s="101" t="s">
        <v>186</v>
      </c>
      <c r="D29" s="5">
        <f>'Front End'!F52</f>
        <v>0</v>
      </c>
      <c r="E29" s="189">
        <f>'Detailed Data'!G43</f>
        <v>350</v>
      </c>
      <c r="F29" s="189">
        <f>'Detailed Data'!H43</f>
        <v>2000</v>
      </c>
      <c r="G29" s="31">
        <f>(SUM(F29*12+E29))*D29</f>
        <v>0</v>
      </c>
      <c r="H29" s="6"/>
    </row>
    <row r="30" spans="1:8" ht="13.5" thickBot="1">
      <c r="A30" s="4"/>
      <c r="B30" s="22"/>
      <c r="C30" s="186" t="s">
        <v>512</v>
      </c>
      <c r="D30" s="22"/>
      <c r="E30" s="188">
        <f>'Detailed Data'!G44</f>
        <v>250</v>
      </c>
      <c r="F30" s="188">
        <f>'Detailed Data'!H44</f>
        <v>20000</v>
      </c>
      <c r="G30" s="57">
        <f>(SUM(F30*12+E30))</f>
        <v>240250</v>
      </c>
      <c r="H30" s="6"/>
    </row>
    <row r="31" spans="1:8" ht="13.5" thickTop="1">
      <c r="A31" s="4"/>
      <c r="B31" s="5" t="s">
        <v>269</v>
      </c>
      <c r="C31" s="5"/>
      <c r="D31" s="5"/>
      <c r="E31" s="5"/>
      <c r="F31" s="5"/>
      <c r="G31" s="95">
        <v>303550</v>
      </c>
      <c r="H31" s="6"/>
    </row>
    <row r="32" spans="1:8" ht="12.75">
      <c r="A32" s="4"/>
      <c r="B32" s="5"/>
      <c r="C32" s="5"/>
      <c r="D32" s="5"/>
      <c r="E32" s="5"/>
      <c r="F32" s="5"/>
      <c r="G32" s="31"/>
      <c r="H32" s="6"/>
    </row>
    <row r="33" spans="1:8" ht="12.75">
      <c r="A33" s="4"/>
      <c r="B33" s="15" t="s">
        <v>490</v>
      </c>
      <c r="C33" s="5"/>
      <c r="D33" s="128" t="s">
        <v>235</v>
      </c>
      <c r="E33" s="5" t="s">
        <v>160</v>
      </c>
      <c r="F33" s="5" t="s">
        <v>161</v>
      </c>
      <c r="G33" s="31"/>
      <c r="H33" s="6"/>
    </row>
    <row r="34" spans="1:8" ht="12.75">
      <c r="A34" s="4"/>
      <c r="B34" s="5"/>
      <c r="C34" s="5" t="s">
        <v>14</v>
      </c>
      <c r="D34" s="5">
        <f>'Front End'!G50</f>
        <v>3</v>
      </c>
      <c r="E34" s="189">
        <f>'Detailed Data'!G46</f>
        <v>350</v>
      </c>
      <c r="F34" s="189">
        <f>'Detailed Data'!H46</f>
        <v>1000</v>
      </c>
      <c r="G34" s="72">
        <f>(F34*12+E34)*D34</f>
        <v>37050</v>
      </c>
      <c r="H34" s="6"/>
    </row>
    <row r="35" spans="1:8" ht="12.75">
      <c r="A35" s="4"/>
      <c r="B35" s="5"/>
      <c r="C35" s="5" t="s">
        <v>185</v>
      </c>
      <c r="D35" s="5">
        <f>'Front End'!G51</f>
        <v>0</v>
      </c>
      <c r="E35" s="189">
        <f>'Detailed Data'!G47</f>
        <v>350</v>
      </c>
      <c r="F35" s="189">
        <f>'Detailed Data'!H47</f>
        <v>1300</v>
      </c>
      <c r="G35" s="72">
        <f>(F35*12+E35)*D35</f>
        <v>0</v>
      </c>
      <c r="H35" s="6"/>
    </row>
    <row r="36" spans="1:8" ht="13.5" thickBot="1">
      <c r="A36" s="4"/>
      <c r="B36" s="22"/>
      <c r="C36" s="22" t="s">
        <v>186</v>
      </c>
      <c r="D36" s="22">
        <f>'Front End'!G52</f>
        <v>0</v>
      </c>
      <c r="E36" s="188">
        <f>'Detailed Data'!G48</f>
        <v>350</v>
      </c>
      <c r="F36" s="188">
        <f>'Detailed Data'!H48</f>
        <v>0</v>
      </c>
      <c r="G36" s="57">
        <f>(F36*12+E36)*D36</f>
        <v>0</v>
      </c>
      <c r="H36" s="6"/>
    </row>
    <row r="37" spans="1:8" ht="13.5" thickTop="1">
      <c r="A37" s="4"/>
      <c r="B37" s="5" t="s">
        <v>269</v>
      </c>
      <c r="C37" s="5"/>
      <c r="D37" s="5"/>
      <c r="E37" s="5"/>
      <c r="F37" s="5"/>
      <c r="G37" s="95">
        <v>145977</v>
      </c>
      <c r="H37" s="6"/>
    </row>
    <row r="38" spans="1:8" ht="12.75">
      <c r="A38" s="4"/>
      <c r="B38" s="5"/>
      <c r="C38" s="5"/>
      <c r="D38" s="5"/>
      <c r="E38" s="5"/>
      <c r="F38" s="5"/>
      <c r="G38" s="31"/>
      <c r="H38" s="6"/>
    </row>
    <row r="39" spans="1:8" ht="12.75">
      <c r="A39" s="4"/>
      <c r="B39" s="15" t="s">
        <v>491</v>
      </c>
      <c r="C39" s="5"/>
      <c r="D39" s="5"/>
      <c r="E39" s="5"/>
      <c r="F39" s="5"/>
      <c r="G39" s="31"/>
      <c r="H39" s="6"/>
    </row>
    <row r="40" spans="1:8" ht="12.75">
      <c r="A40" s="4"/>
      <c r="B40" s="5"/>
      <c r="C40" s="5" t="s">
        <v>126</v>
      </c>
      <c r="D40" s="5"/>
      <c r="E40" s="5"/>
      <c r="F40" s="5"/>
      <c r="G40" s="189">
        <f>'Detailed Data'!H50</f>
        <v>0</v>
      </c>
      <c r="H40" s="6"/>
    </row>
    <row r="41" spans="1:8" ht="13.5" thickBot="1">
      <c r="A41" s="4"/>
      <c r="B41" s="22"/>
      <c r="C41" s="22" t="s">
        <v>532</v>
      </c>
      <c r="D41" s="22"/>
      <c r="E41" s="22"/>
      <c r="F41" s="22"/>
      <c r="G41" s="91">
        <f>'Detailed Data'!H51</f>
        <v>0</v>
      </c>
      <c r="H41" s="6"/>
    </row>
    <row r="42" spans="1:8" ht="13.5" thickTop="1">
      <c r="A42" s="4"/>
      <c r="B42" s="5" t="s">
        <v>269</v>
      </c>
      <c r="C42" s="5"/>
      <c r="D42" s="5"/>
      <c r="E42" s="5"/>
      <c r="F42" s="5"/>
      <c r="G42" s="31">
        <f>SUM(G40:G41)</f>
        <v>0</v>
      </c>
      <c r="H42" s="6"/>
    </row>
    <row r="43" spans="1:8" ht="13.5" thickBot="1">
      <c r="A43" s="4"/>
      <c r="B43" s="5"/>
      <c r="C43" s="5"/>
      <c r="D43" s="5"/>
      <c r="E43" s="5"/>
      <c r="F43" s="5"/>
      <c r="G43" s="31"/>
      <c r="H43" s="6"/>
    </row>
    <row r="44" spans="1:8" ht="14.25" thickBot="1" thickTop="1">
      <c r="A44" s="4"/>
      <c r="B44" s="37" t="s">
        <v>267</v>
      </c>
      <c r="C44" s="38"/>
      <c r="D44" s="38"/>
      <c r="E44" s="38"/>
      <c r="F44" s="38"/>
      <c r="G44" s="39">
        <f>SUM(G42,G37,G31,G22,G16,G8)</f>
        <v>1136027</v>
      </c>
      <c r="H44" s="6"/>
    </row>
    <row r="45" spans="1:8" ht="13.5" thickTop="1">
      <c r="A45" s="4"/>
      <c r="B45" s="5"/>
      <c r="C45" s="5"/>
      <c r="D45" s="5"/>
      <c r="E45" s="5"/>
      <c r="F45" s="5"/>
      <c r="G45" s="31"/>
      <c r="H45" s="6"/>
    </row>
    <row r="46" spans="1:8" ht="13.5" thickBot="1">
      <c r="A46" s="7"/>
      <c r="B46" s="8"/>
      <c r="C46" s="8"/>
      <c r="D46" s="8"/>
      <c r="E46" s="8"/>
      <c r="F46" s="8"/>
      <c r="G46" s="50"/>
      <c r="H46" s="9"/>
    </row>
    <row r="47" ht="13.5" thickTop="1"/>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60">
      <c r="A58" s="134" t="s">
        <v>249</v>
      </c>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60">
      <c r="A66" s="134"/>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60">
      <c r="A77" s="133"/>
      <c r="B77" s="133"/>
      <c r="C77" s="133"/>
      <c r="D77" s="134"/>
      <c r="E77" s="133"/>
      <c r="F77" s="133"/>
      <c r="G77" s="133"/>
      <c r="H77" s="133"/>
      <c r="I77" s="133"/>
      <c r="J77" s="133"/>
      <c r="K77" s="133"/>
      <c r="L77" s="133"/>
      <c r="M77" s="133"/>
      <c r="N77" s="133"/>
      <c r="O77" s="133"/>
    </row>
    <row r="78" spans="1:15" ht="12.75">
      <c r="A78" s="133"/>
      <c r="B78" s="133"/>
      <c r="C78" s="133"/>
      <c r="D78" s="133"/>
      <c r="E78" s="133"/>
      <c r="F78" s="133"/>
      <c r="G78" s="133"/>
      <c r="H78" s="133"/>
      <c r="I78" s="133"/>
      <c r="J78" s="133"/>
      <c r="K78" s="133"/>
      <c r="L78" s="133"/>
      <c r="M78" s="133"/>
      <c r="N78" s="133"/>
      <c r="O78" s="133"/>
    </row>
    <row r="79" spans="1:15" ht="12.75">
      <c r="A79" s="133"/>
      <c r="B79" s="133"/>
      <c r="C79" s="133"/>
      <c r="D79" s="133"/>
      <c r="E79" s="133"/>
      <c r="F79" s="133"/>
      <c r="G79" s="133"/>
      <c r="H79" s="133"/>
      <c r="I79" s="133"/>
      <c r="J79" s="133"/>
      <c r="K79" s="133"/>
      <c r="L79" s="133"/>
      <c r="M79" s="133"/>
      <c r="N79" s="133"/>
      <c r="O79" s="133"/>
    </row>
    <row r="80" spans="1:15" ht="12.75">
      <c r="A80" s="133"/>
      <c r="B80" s="133"/>
      <c r="C80" s="133"/>
      <c r="D80" s="133"/>
      <c r="E80" s="133"/>
      <c r="F80" s="133"/>
      <c r="G80" s="133"/>
      <c r="H80" s="133"/>
      <c r="I80" s="133"/>
      <c r="J80" s="133"/>
      <c r="K80" s="133"/>
      <c r="L80" s="133"/>
      <c r="M80" s="133"/>
      <c r="N80" s="133"/>
      <c r="O80" s="133"/>
    </row>
    <row r="81" spans="1:15" ht="12.75">
      <c r="A81" s="133"/>
      <c r="B81" s="133"/>
      <c r="C81" s="133"/>
      <c r="D81" s="133"/>
      <c r="E81" s="133"/>
      <c r="F81" s="133"/>
      <c r="G81" s="133"/>
      <c r="H81" s="133"/>
      <c r="I81" s="133"/>
      <c r="J81" s="133"/>
      <c r="K81" s="133"/>
      <c r="L81" s="133"/>
      <c r="M81" s="133"/>
      <c r="N81" s="133"/>
      <c r="O81" s="133"/>
    </row>
    <row r="82" spans="1:15" ht="12.75">
      <c r="A82" s="133"/>
      <c r="B82" s="133"/>
      <c r="C82" s="133"/>
      <c r="D82" s="133"/>
      <c r="E82" s="133"/>
      <c r="F82" s="133"/>
      <c r="G82" s="133"/>
      <c r="H82" s="133"/>
      <c r="I82" s="133"/>
      <c r="J82" s="133"/>
      <c r="K82" s="133"/>
      <c r="L82" s="133"/>
      <c r="M82" s="133"/>
      <c r="N82" s="133"/>
      <c r="O82" s="133"/>
    </row>
    <row r="83" spans="1:15" ht="12.75">
      <c r="A83" s="133"/>
      <c r="B83" s="133"/>
      <c r="C83" s="133"/>
      <c r="D83" s="133"/>
      <c r="E83" s="133"/>
      <c r="F83" s="133"/>
      <c r="G83" s="133"/>
      <c r="H83" s="133"/>
      <c r="I83" s="133"/>
      <c r="J83" s="133"/>
      <c r="K83" s="133"/>
      <c r="L83" s="133"/>
      <c r="M83" s="133"/>
      <c r="N83" s="133"/>
      <c r="O83" s="133"/>
    </row>
    <row r="84" spans="1:15" ht="12.75">
      <c r="A84" s="133"/>
      <c r="B84" s="133"/>
      <c r="C84" s="133"/>
      <c r="D84" s="133"/>
      <c r="E84" s="133"/>
      <c r="F84" s="133"/>
      <c r="G84" s="133"/>
      <c r="H84" s="133"/>
      <c r="I84" s="133"/>
      <c r="J84" s="133"/>
      <c r="K84" s="133"/>
      <c r="L84" s="133"/>
      <c r="M84" s="133"/>
      <c r="N84" s="133"/>
      <c r="O84" s="133"/>
    </row>
    <row r="85" spans="1:15" ht="12.75">
      <c r="A85" s="133"/>
      <c r="B85" s="133"/>
      <c r="C85" s="133"/>
      <c r="D85" s="133"/>
      <c r="E85" s="133"/>
      <c r="F85" s="133"/>
      <c r="G85" s="133"/>
      <c r="H85" s="133"/>
      <c r="I85" s="133"/>
      <c r="J85" s="133"/>
      <c r="K85" s="133"/>
      <c r="L85" s="133"/>
      <c r="M85" s="133"/>
      <c r="N85" s="133"/>
      <c r="O85" s="133"/>
    </row>
    <row r="86" spans="1:15" ht="12.75">
      <c r="A86" s="133"/>
      <c r="B86" s="133"/>
      <c r="C86" s="133"/>
      <c r="D86" s="133"/>
      <c r="E86" s="133"/>
      <c r="F86" s="133"/>
      <c r="G86" s="133"/>
      <c r="H86" s="133"/>
      <c r="I86" s="133"/>
      <c r="J86" s="133"/>
      <c r="K86" s="133"/>
      <c r="L86" s="133"/>
      <c r="M86" s="133"/>
      <c r="N86" s="133"/>
      <c r="O86" s="133"/>
    </row>
    <row r="87" spans="1:15" ht="12.75">
      <c r="A87" s="133"/>
      <c r="B87" s="133"/>
      <c r="C87" s="133"/>
      <c r="D87" s="133"/>
      <c r="E87" s="133"/>
      <c r="F87" s="133"/>
      <c r="G87" s="133"/>
      <c r="H87" s="133"/>
      <c r="I87" s="133"/>
      <c r="J87" s="133"/>
      <c r="K87" s="133"/>
      <c r="L87" s="133"/>
      <c r="M87" s="133"/>
      <c r="N87" s="133"/>
      <c r="O87" s="133"/>
    </row>
    <row r="88" spans="1:15" ht="12.75">
      <c r="A88" s="133"/>
      <c r="B88" s="133"/>
      <c r="C88" s="133"/>
      <c r="D88" s="133"/>
      <c r="E88" s="133"/>
      <c r="F88" s="133"/>
      <c r="G88" s="133"/>
      <c r="H88" s="133"/>
      <c r="I88" s="133"/>
      <c r="J88" s="133"/>
      <c r="K88" s="133"/>
      <c r="L88" s="133"/>
      <c r="M88" s="133"/>
      <c r="N88" s="133"/>
      <c r="O88" s="133"/>
    </row>
    <row r="89" spans="1:15" ht="12.75">
      <c r="A89" s="133"/>
      <c r="B89" s="133"/>
      <c r="C89" s="133"/>
      <c r="D89" s="133"/>
      <c r="E89" s="133"/>
      <c r="F89" s="133"/>
      <c r="G89" s="133"/>
      <c r="H89" s="133"/>
      <c r="I89" s="133"/>
      <c r="J89" s="133"/>
      <c r="K89" s="133"/>
      <c r="L89" s="133"/>
      <c r="M89" s="133"/>
      <c r="N89" s="133"/>
      <c r="O89" s="133"/>
    </row>
    <row r="90" spans="1:15" ht="12.75">
      <c r="A90" s="133"/>
      <c r="B90" s="133"/>
      <c r="C90" s="133"/>
      <c r="D90" s="133"/>
      <c r="E90" s="133"/>
      <c r="F90" s="133"/>
      <c r="G90" s="133"/>
      <c r="H90" s="133"/>
      <c r="I90" s="133"/>
      <c r="J90" s="133"/>
      <c r="K90" s="133"/>
      <c r="L90" s="133"/>
      <c r="M90" s="133"/>
      <c r="N90" s="133"/>
      <c r="O90" s="133"/>
    </row>
    <row r="91" spans="1:15" ht="12.75">
      <c r="A91" s="133"/>
      <c r="B91" s="133"/>
      <c r="C91" s="133"/>
      <c r="D91" s="133"/>
      <c r="E91" s="133"/>
      <c r="F91" s="133"/>
      <c r="G91" s="133"/>
      <c r="H91" s="133"/>
      <c r="I91" s="133"/>
      <c r="J91" s="133"/>
      <c r="K91" s="133"/>
      <c r="L91" s="133"/>
      <c r="M91" s="133"/>
      <c r="N91" s="133"/>
      <c r="O91" s="133"/>
    </row>
    <row r="92" spans="1:15" ht="12.75">
      <c r="A92" s="133"/>
      <c r="B92" s="133"/>
      <c r="C92" s="133"/>
      <c r="D92" s="133"/>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sheetData>
  <sheetProtection password="D023" sheet="1" objects="1" scenarios="1"/>
  <printOptions/>
  <pageMargins left="0.75" right="0.75" top="1" bottom="1" header="0.5" footer="0.5"/>
  <pageSetup fitToHeight="1" fitToWidth="1" horizontalDpi="600" verticalDpi="600" orientation="portrait" scale="89" r:id="rId1"/>
  <headerFooter alignWithMargins="0">
    <oddHeader>&amp;CTotal Cost of Application Ownership (TCA) Calculator</oddHeader>
    <oddFooter>&amp;LThe Tolly Group TCA Calculator&amp;R© The Tolly Group, 1999</oddFooter>
  </headerFooter>
</worksheet>
</file>

<file path=xl/worksheets/sheet52.xml><?xml version="1.0" encoding="utf-8"?>
<worksheet xmlns="http://schemas.openxmlformats.org/spreadsheetml/2006/main" xmlns:r="http://schemas.openxmlformats.org/officeDocument/2006/relationships">
  <sheetPr codeName="Sheet1431">
    <pageSetUpPr fitToPage="1"/>
  </sheetPr>
  <dimension ref="A1:O69"/>
  <sheetViews>
    <sheetView workbookViewId="0" topLeftCell="A30">
      <selection activeCell="A26" sqref="A26"/>
    </sheetView>
  </sheetViews>
  <sheetFormatPr defaultColWidth="9.140625" defaultRowHeight="12.75"/>
  <cols>
    <col min="2" max="2" width="12.28125" style="0" customWidth="1"/>
    <col min="5" max="6" width="11.57421875" style="0" customWidth="1"/>
    <col min="7" max="7" width="16.140625" style="0" customWidth="1"/>
  </cols>
  <sheetData>
    <row r="1" spans="1:8" ht="13.5" thickTop="1">
      <c r="A1" s="2"/>
      <c r="B1" s="3"/>
      <c r="C1" s="3"/>
      <c r="D1" s="3"/>
      <c r="E1" s="3"/>
      <c r="F1" s="3"/>
      <c r="G1" s="3"/>
      <c r="H1" s="13"/>
    </row>
    <row r="2" spans="1:8" ht="15">
      <c r="A2" s="65" t="s">
        <v>192</v>
      </c>
      <c r="B2" s="5"/>
      <c r="C2" s="5"/>
      <c r="D2" s="5"/>
      <c r="E2" s="5"/>
      <c r="F2" s="5"/>
      <c r="G2" s="5"/>
      <c r="H2" s="6"/>
    </row>
    <row r="3" spans="1:8" ht="12.75">
      <c r="A3" s="4"/>
      <c r="B3" s="5"/>
      <c r="C3" s="5"/>
      <c r="D3" s="5"/>
      <c r="E3" s="5"/>
      <c r="F3" s="5"/>
      <c r="G3" s="5"/>
      <c r="H3" s="6"/>
    </row>
    <row r="4" spans="1:8" ht="15.75">
      <c r="A4" s="4"/>
      <c r="B4" s="30" t="s">
        <v>492</v>
      </c>
      <c r="C4" s="5"/>
      <c r="D4" s="5"/>
      <c r="E4" s="5"/>
      <c r="F4" s="5"/>
      <c r="G4" s="5"/>
      <c r="H4" s="6"/>
    </row>
    <row r="5" spans="1:8" ht="12.75">
      <c r="A5" s="4"/>
      <c r="B5" s="5"/>
      <c r="C5" s="5"/>
      <c r="D5" s="5"/>
      <c r="E5" s="5"/>
      <c r="F5" s="5"/>
      <c r="G5" s="5"/>
      <c r="H5" s="6"/>
    </row>
    <row r="6" spans="1:8" ht="12.75">
      <c r="A6" s="4"/>
      <c r="B6" s="15" t="s">
        <v>493</v>
      </c>
      <c r="C6" s="5"/>
      <c r="D6" s="5"/>
      <c r="E6" s="5"/>
      <c r="F6" s="5"/>
      <c r="G6" s="101" t="s">
        <v>41</v>
      </c>
      <c r="H6" s="6"/>
    </row>
    <row r="7" spans="1:8" ht="13.5" thickBot="1">
      <c r="A7" s="4"/>
      <c r="B7" s="22"/>
      <c r="C7" s="22" t="s">
        <v>165</v>
      </c>
      <c r="D7" s="22"/>
      <c r="E7" s="22"/>
      <c r="F7" s="89">
        <f>'Application Maintenance'!I7</f>
        <v>0.5</v>
      </c>
      <c r="G7" s="35">
        <f>'Calculation Sheet'!E11/52/40*F7*12</f>
        <v>219.06634615384613</v>
      </c>
      <c r="H7" s="6"/>
    </row>
    <row r="8" spans="1:8" ht="13.5" thickTop="1">
      <c r="A8" s="4"/>
      <c r="B8" s="5" t="s">
        <v>269</v>
      </c>
      <c r="C8" s="5"/>
      <c r="D8" s="5"/>
      <c r="E8" s="5"/>
      <c r="F8" s="5"/>
      <c r="G8" s="31">
        <f>SUM(G7)</f>
        <v>219.06634615384613</v>
      </c>
      <c r="H8" s="6"/>
    </row>
    <row r="9" spans="1:8" ht="12.75">
      <c r="A9" s="4"/>
      <c r="B9" s="5"/>
      <c r="C9" s="5"/>
      <c r="D9" s="5"/>
      <c r="E9" s="5"/>
      <c r="F9" s="5"/>
      <c r="G9" s="5"/>
      <c r="H9" s="6"/>
    </row>
    <row r="10" spans="1:8" ht="12.75">
      <c r="A10" s="4"/>
      <c r="B10" s="15" t="s">
        <v>494</v>
      </c>
      <c r="C10" s="5"/>
      <c r="D10" s="5"/>
      <c r="E10" s="5"/>
      <c r="F10" s="5"/>
      <c r="G10" s="31"/>
      <c r="H10" s="6"/>
    </row>
    <row r="11" spans="1:8" ht="13.5" thickBot="1">
      <c r="A11" s="4"/>
      <c r="B11" s="22"/>
      <c r="C11" s="22" t="s">
        <v>128</v>
      </c>
      <c r="D11" s="22"/>
      <c r="E11" s="22"/>
      <c r="F11" s="22"/>
      <c r="G11" s="91">
        <f>'Application Maintenance'!G10</f>
        <v>0</v>
      </c>
      <c r="H11" s="6"/>
    </row>
    <row r="12" spans="1:8" ht="13.5" thickTop="1">
      <c r="A12" s="4"/>
      <c r="B12" s="5" t="s">
        <v>269</v>
      </c>
      <c r="C12" s="5"/>
      <c r="D12" s="5"/>
      <c r="E12" s="5"/>
      <c r="F12" s="5"/>
      <c r="G12" s="31">
        <f>SUM(G11)</f>
        <v>0</v>
      </c>
      <c r="H12" s="6"/>
    </row>
    <row r="13" spans="1:8" ht="12.75">
      <c r="A13" s="4"/>
      <c r="B13" s="5"/>
      <c r="C13" s="5"/>
      <c r="D13" s="5"/>
      <c r="E13" s="5"/>
      <c r="F13" s="5"/>
      <c r="G13" s="31"/>
      <c r="H13" s="6"/>
    </row>
    <row r="14" spans="1:8" ht="12.75">
      <c r="A14" s="4"/>
      <c r="B14" s="15" t="s">
        <v>495</v>
      </c>
      <c r="C14" s="5"/>
      <c r="D14" s="5"/>
      <c r="E14" s="5"/>
      <c r="F14" s="5"/>
      <c r="G14" s="31"/>
      <c r="H14" s="6"/>
    </row>
    <row r="15" spans="1:8" ht="12.75">
      <c r="A15" s="4"/>
      <c r="B15" s="5"/>
      <c r="C15" s="5" t="s">
        <v>129</v>
      </c>
      <c r="D15" s="5"/>
      <c r="E15" s="5"/>
      <c r="F15" s="5"/>
      <c r="G15" s="85">
        <f>'Application Maintenance'!G13</f>
        <v>100</v>
      </c>
      <c r="H15" s="6"/>
    </row>
    <row r="16" spans="1:8" ht="12.75">
      <c r="A16" s="4"/>
      <c r="B16" s="5"/>
      <c r="C16" s="5" t="s">
        <v>130</v>
      </c>
      <c r="D16" s="5"/>
      <c r="E16" s="5"/>
      <c r="F16" s="5"/>
      <c r="G16" s="85">
        <f>'Application Maintenance'!G14</f>
        <v>600</v>
      </c>
      <c r="H16" s="6"/>
    </row>
    <row r="17" spans="1:8" ht="13.5" thickBot="1">
      <c r="A17" s="4"/>
      <c r="B17" s="22"/>
      <c r="C17" s="22" t="s">
        <v>131</v>
      </c>
      <c r="D17" s="22"/>
      <c r="E17" s="22"/>
      <c r="F17" s="22"/>
      <c r="G17" s="91">
        <f>'Application Maintenance'!G15</f>
        <v>400</v>
      </c>
      <c r="H17" s="6"/>
    </row>
    <row r="18" spans="1:8" ht="13.5" thickTop="1">
      <c r="A18" s="4"/>
      <c r="B18" s="5" t="s">
        <v>269</v>
      </c>
      <c r="C18" s="5"/>
      <c r="D18" s="5"/>
      <c r="E18" s="5"/>
      <c r="F18" s="5"/>
      <c r="G18" s="95">
        <v>1000</v>
      </c>
      <c r="H18" s="6"/>
    </row>
    <row r="19" spans="1:8" ht="13.5" thickBot="1">
      <c r="A19" s="4"/>
      <c r="B19" s="5"/>
      <c r="C19" s="5"/>
      <c r="D19" s="5"/>
      <c r="E19" s="5"/>
      <c r="F19" s="5"/>
      <c r="G19" s="31"/>
      <c r="H19" s="6"/>
    </row>
    <row r="20" spans="1:8" ht="14.25" thickBot="1" thickTop="1">
      <c r="A20" s="4"/>
      <c r="B20" s="37"/>
      <c r="C20" s="38"/>
      <c r="D20" s="38"/>
      <c r="E20" s="38"/>
      <c r="F20" s="38"/>
      <c r="G20" s="150">
        <v>1219.07</v>
      </c>
      <c r="H20" s="6"/>
    </row>
    <row r="21" spans="1:8" ht="13.5" thickTop="1">
      <c r="A21" s="4"/>
      <c r="B21" s="5"/>
      <c r="C21" s="5"/>
      <c r="D21" s="5"/>
      <c r="E21" s="5"/>
      <c r="F21" s="5"/>
      <c r="G21" s="5"/>
      <c r="H21" s="6"/>
    </row>
    <row r="22" spans="1:8" ht="12.75">
      <c r="A22" s="4"/>
      <c r="B22" s="66"/>
      <c r="C22" s="5"/>
      <c r="D22" s="5"/>
      <c r="E22" s="5"/>
      <c r="F22" s="5"/>
      <c r="G22" s="5"/>
      <c r="H22" s="6"/>
    </row>
    <row r="23" spans="1:8" ht="12.75">
      <c r="A23" s="4"/>
      <c r="B23" s="32"/>
      <c r="C23" s="5"/>
      <c r="D23" s="5"/>
      <c r="E23" s="5"/>
      <c r="F23" s="5"/>
      <c r="G23" s="5"/>
      <c r="H23" s="6"/>
    </row>
    <row r="24" spans="1:8" ht="13.5" thickBot="1">
      <c r="A24" s="7"/>
      <c r="B24" s="8"/>
      <c r="C24" s="8"/>
      <c r="D24" s="8"/>
      <c r="E24" s="8"/>
      <c r="F24" s="8"/>
      <c r="G24" s="8"/>
      <c r="H24" s="9"/>
    </row>
    <row r="25"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53.xml><?xml version="1.0" encoding="utf-8"?>
<worksheet xmlns="http://schemas.openxmlformats.org/spreadsheetml/2006/main" xmlns:r="http://schemas.openxmlformats.org/officeDocument/2006/relationships">
  <sheetPr codeName="Sheet1531">
    <pageSetUpPr fitToPage="1"/>
  </sheetPr>
  <dimension ref="A1:O69"/>
  <sheetViews>
    <sheetView workbookViewId="0" topLeftCell="A30">
      <selection activeCell="A19" sqref="A19"/>
    </sheetView>
  </sheetViews>
  <sheetFormatPr defaultColWidth="9.140625" defaultRowHeight="12.75"/>
  <cols>
    <col min="4" max="4" width="12.57421875" style="0" customWidth="1"/>
    <col min="5" max="5" width="22.710937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499</v>
      </c>
      <c r="C3" s="5"/>
      <c r="D3" s="5"/>
      <c r="E3" s="5" t="s">
        <v>166</v>
      </c>
      <c r="F3" s="101" t="s">
        <v>41</v>
      </c>
      <c r="G3" s="6"/>
    </row>
    <row r="4" spans="1:7" ht="12.75">
      <c r="A4" s="4"/>
      <c r="B4" s="15" t="s">
        <v>500</v>
      </c>
      <c r="C4" s="5"/>
      <c r="D4" s="5"/>
      <c r="E4" s="160">
        <f>'Server Operations'!H5</f>
        <v>148.6153846153846</v>
      </c>
      <c r="F4" s="31">
        <f>'Calculation Sheet'!E16/52/40*E4*12</f>
        <v>82674.4526627219</v>
      </c>
      <c r="G4" s="6"/>
    </row>
    <row r="5" spans="1:7" ht="12.75">
      <c r="A5" s="4"/>
      <c r="B5" s="15" t="s">
        <v>496</v>
      </c>
      <c r="C5" s="5"/>
      <c r="D5" s="5"/>
      <c r="E5" s="160">
        <f>'Server Operations'!H6</f>
        <v>40</v>
      </c>
      <c r="F5" s="31">
        <f>'Calculation Sheet'!E16/52/40*E5*12</f>
        <v>22251.923076923078</v>
      </c>
      <c r="G5" s="6"/>
    </row>
    <row r="6" spans="1:7" ht="13.5" thickBot="1">
      <c r="A6" s="4"/>
      <c r="B6" s="21" t="s">
        <v>497</v>
      </c>
      <c r="C6" s="22"/>
      <c r="D6" s="22"/>
      <c r="E6" s="161">
        <f>'Server Operations'!H7</f>
        <v>40</v>
      </c>
      <c r="F6" s="57">
        <f>'Calculation Sheet'!E16/52/40*E6*12</f>
        <v>22251.923076923078</v>
      </c>
      <c r="G6" s="6"/>
    </row>
    <row r="7" spans="1:7" ht="13.5" thickTop="1">
      <c r="A7" s="4"/>
      <c r="B7" s="5" t="s">
        <v>269</v>
      </c>
      <c r="C7" s="5"/>
      <c r="D7" s="5"/>
      <c r="E7" s="5"/>
      <c r="F7" s="31">
        <f>SUM(F4:F6)</f>
        <v>127178.29881656806</v>
      </c>
      <c r="G7" s="6"/>
    </row>
    <row r="8" spans="1:7" ht="12.75">
      <c r="A8" s="4"/>
      <c r="B8" s="5"/>
      <c r="C8" s="5"/>
      <c r="D8" s="5"/>
      <c r="E8" s="5"/>
      <c r="F8" s="31"/>
      <c r="G8" s="6"/>
    </row>
    <row r="9" spans="1:7" ht="12.75">
      <c r="A9" s="4"/>
      <c r="B9" s="15" t="s">
        <v>498</v>
      </c>
      <c r="C9" s="5"/>
      <c r="D9" s="5"/>
      <c r="E9" s="5"/>
      <c r="F9" s="31"/>
      <c r="G9" s="6"/>
    </row>
    <row r="10" spans="1:7" ht="12.75">
      <c r="A10" s="4"/>
      <c r="B10" s="5"/>
      <c r="C10" s="5" t="s">
        <v>133</v>
      </c>
      <c r="D10" s="5"/>
      <c r="E10" s="5"/>
      <c r="F10" s="85">
        <f>'Server Operations'!F10</f>
        <v>1500</v>
      </c>
      <c r="G10" s="6"/>
    </row>
    <row r="11" spans="1:7" ht="13.5" thickBot="1">
      <c r="A11" s="4"/>
      <c r="B11" s="22"/>
      <c r="C11" s="22" t="s">
        <v>134</v>
      </c>
      <c r="D11" s="22"/>
      <c r="E11" s="22"/>
      <c r="F11" s="91">
        <f>'Server Operations'!F11</f>
        <v>3000</v>
      </c>
      <c r="G11" s="6"/>
    </row>
    <row r="12" spans="1:7" ht="13.5" thickTop="1">
      <c r="A12" s="4"/>
      <c r="B12" s="5" t="s">
        <v>269</v>
      </c>
      <c r="C12" s="5"/>
      <c r="D12" s="5"/>
      <c r="E12" s="5"/>
      <c r="F12" s="31">
        <f>F10+F11</f>
        <v>4500</v>
      </c>
      <c r="G12" s="6"/>
    </row>
    <row r="13" spans="1:7" ht="13.5" thickBot="1">
      <c r="A13" s="4"/>
      <c r="B13" s="5"/>
      <c r="C13" s="5"/>
      <c r="D13" s="5"/>
      <c r="E13" s="5"/>
      <c r="F13" s="31"/>
      <c r="G13" s="6"/>
    </row>
    <row r="14" spans="1:7" ht="14.25" thickBot="1" thickTop="1">
      <c r="A14" s="4"/>
      <c r="B14" s="37" t="s">
        <v>135</v>
      </c>
      <c r="C14" s="38"/>
      <c r="D14" s="38"/>
      <c r="E14" s="38"/>
      <c r="F14" s="39">
        <f>SUM(F12,F7)</f>
        <v>131678.29881656804</v>
      </c>
      <c r="G14" s="6"/>
    </row>
    <row r="15" spans="1:7" ht="13.5" thickTop="1">
      <c r="A15" s="4"/>
      <c r="B15" s="5"/>
      <c r="C15" s="5"/>
      <c r="D15" s="5"/>
      <c r="E15" s="5"/>
      <c r="F15" s="5"/>
      <c r="G15" s="6"/>
    </row>
    <row r="16" spans="1:7" ht="13.5" thickBot="1">
      <c r="A16" s="7"/>
      <c r="B16" s="8"/>
      <c r="C16" s="8"/>
      <c r="D16" s="8"/>
      <c r="E16" s="8"/>
      <c r="F16" s="8"/>
      <c r="G16" s="9"/>
    </row>
    <row r="17"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54.xml><?xml version="1.0" encoding="utf-8"?>
<worksheet xmlns="http://schemas.openxmlformats.org/spreadsheetml/2006/main" xmlns:r="http://schemas.openxmlformats.org/officeDocument/2006/relationships">
  <sheetPr codeName="Sheet151">
    <pageSetUpPr fitToPage="1"/>
  </sheetPr>
  <dimension ref="A1:O77"/>
  <sheetViews>
    <sheetView workbookViewId="0" topLeftCell="A38">
      <selection activeCell="L34" sqref="L34"/>
    </sheetView>
  </sheetViews>
  <sheetFormatPr defaultColWidth="9.140625" defaultRowHeight="12.75"/>
  <cols>
    <col min="3" max="3" width="13.28125" style="0" customWidth="1"/>
    <col min="4" max="4" width="15.00390625" style="0" customWidth="1"/>
    <col min="5" max="5" width="10.140625" style="0" customWidth="1"/>
    <col min="6" max="6" width="17.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501</v>
      </c>
      <c r="C3" s="5"/>
      <c r="D3" s="5"/>
      <c r="E3" s="5"/>
      <c r="F3" s="5"/>
      <c r="G3" s="6"/>
    </row>
    <row r="4" spans="1:7" ht="12.75" customHeight="1">
      <c r="A4" s="4"/>
      <c r="B4" s="30"/>
      <c r="C4" s="5"/>
      <c r="D4" s="5"/>
      <c r="E4" s="5"/>
      <c r="F4" s="5"/>
      <c r="G4" s="6"/>
    </row>
    <row r="5" spans="1:7" ht="12.75" customHeight="1">
      <c r="A5" s="4"/>
      <c r="B5" s="15" t="s">
        <v>502</v>
      </c>
      <c r="C5" s="5"/>
      <c r="D5" s="5"/>
      <c r="E5" s="5"/>
      <c r="F5" s="5"/>
      <c r="G5" s="6"/>
    </row>
    <row r="6" spans="1:7" ht="12.75" customHeight="1">
      <c r="A6" s="4"/>
      <c r="B6" s="5"/>
      <c r="C6" s="5" t="s">
        <v>45</v>
      </c>
      <c r="D6" s="5"/>
      <c r="E6" s="86">
        <f>'Loss of Productivity'!H8</f>
        <v>0.01</v>
      </c>
      <c r="F6" s="5"/>
      <c r="G6" s="6"/>
    </row>
    <row r="7" spans="1:7" ht="12.75" customHeight="1">
      <c r="A7" s="4"/>
      <c r="B7" s="5"/>
      <c r="C7" s="5" t="s">
        <v>46</v>
      </c>
      <c r="D7" s="5"/>
      <c r="E7" s="86">
        <f>'Loss of Productivity'!H9</f>
        <v>0.005</v>
      </c>
      <c r="F7" s="5"/>
      <c r="G7" s="6"/>
    </row>
    <row r="8" spans="1:7" ht="12.75" customHeight="1">
      <c r="A8" s="4"/>
      <c r="B8" s="5"/>
      <c r="C8" s="5" t="s">
        <v>12</v>
      </c>
      <c r="D8" s="5"/>
      <c r="E8" s="86">
        <f>'Loss of Productivity'!H10</f>
        <v>0.0001</v>
      </c>
      <c r="F8" s="5"/>
      <c r="G8" s="6"/>
    </row>
    <row r="9" spans="1:7" ht="12.75" customHeight="1">
      <c r="A9" s="4"/>
      <c r="B9" s="5"/>
      <c r="C9" s="5"/>
      <c r="D9" s="5"/>
      <c r="E9" s="5"/>
      <c r="F9" s="5"/>
      <c r="G9" s="6"/>
    </row>
    <row r="10" spans="1:7" ht="12.75">
      <c r="A10" s="4"/>
      <c r="B10" s="15" t="s">
        <v>503</v>
      </c>
      <c r="C10" s="5"/>
      <c r="D10" s="5"/>
      <c r="E10" s="5"/>
      <c r="F10" s="5"/>
      <c r="G10" s="6"/>
    </row>
    <row r="11" spans="1:7" ht="12.75">
      <c r="A11" s="4"/>
      <c r="B11" s="5"/>
      <c r="C11" s="5" t="s">
        <v>142</v>
      </c>
      <c r="D11" s="5"/>
      <c r="E11" s="5"/>
      <c r="F11" s="31"/>
      <c r="G11" s="6"/>
    </row>
    <row r="12" spans="1:7" ht="12.75">
      <c r="A12" s="4"/>
      <c r="B12" s="5"/>
      <c r="C12" s="5"/>
      <c r="D12" s="5" t="s">
        <v>48</v>
      </c>
      <c r="E12" s="5"/>
      <c r="F12" s="31">
        <f>'Calculation Sheet'!D3*$E$8*('Front End'!$G$3*0.65)</f>
        <v>8645</v>
      </c>
      <c r="G12" s="6"/>
    </row>
    <row r="13" spans="1:7" ht="12.75">
      <c r="A13" s="4"/>
      <c r="B13" s="5"/>
      <c r="C13" s="5"/>
      <c r="D13" s="5" t="s">
        <v>270</v>
      </c>
      <c r="E13" s="5"/>
      <c r="F13" s="31">
        <f>'Calculation Sheet'!D4*$E$8*('Front End'!$G$3*0.25)</f>
        <v>6650</v>
      </c>
      <c r="G13" s="6"/>
    </row>
    <row r="14" spans="1:7" ht="13.5" thickBot="1">
      <c r="A14" s="4"/>
      <c r="B14" s="22"/>
      <c r="C14" s="22"/>
      <c r="D14" s="22" t="s">
        <v>49</v>
      </c>
      <c r="E14" s="22"/>
      <c r="F14" s="31">
        <f>'Calculation Sheet'!D5*$E$8*('Front End'!$G$3*0.1)</f>
        <v>4987.5</v>
      </c>
      <c r="G14" s="6"/>
    </row>
    <row r="15" spans="1:7" ht="13.5" thickTop="1">
      <c r="A15" s="4"/>
      <c r="B15" s="5"/>
      <c r="C15" s="5"/>
      <c r="D15" s="5"/>
      <c r="E15" s="5"/>
      <c r="F15" s="68">
        <f>SUM(F12:F14)</f>
        <v>20282.5</v>
      </c>
      <c r="G15" s="6"/>
    </row>
    <row r="16" spans="1:7" ht="12.75">
      <c r="A16" s="4"/>
      <c r="B16" s="5"/>
      <c r="C16" s="5"/>
      <c r="D16" s="5"/>
      <c r="E16" s="5"/>
      <c r="F16" s="31"/>
      <c r="G16" s="6"/>
    </row>
    <row r="17" spans="1:7" ht="12.75">
      <c r="A17" s="4"/>
      <c r="B17" s="15" t="s">
        <v>504</v>
      </c>
      <c r="C17" s="5"/>
      <c r="D17" s="5"/>
      <c r="E17" s="5"/>
      <c r="F17" s="5"/>
      <c r="G17" s="6"/>
    </row>
    <row r="18" spans="1:7" ht="12.75">
      <c r="A18" s="4"/>
      <c r="B18" s="5"/>
      <c r="C18" s="5" t="s">
        <v>142</v>
      </c>
      <c r="D18" s="5"/>
      <c r="E18" s="5"/>
      <c r="F18" s="31"/>
      <c r="G18" s="6"/>
    </row>
    <row r="19" spans="1:7" ht="12.75">
      <c r="A19" s="4"/>
      <c r="B19" s="5"/>
      <c r="C19" s="5"/>
      <c r="D19" s="5" t="s">
        <v>48</v>
      </c>
      <c r="E19" s="5"/>
      <c r="F19" s="31">
        <f>'Calculation Sheet'!D3*$E$7*('Front End'!$G$3*0.65)</f>
        <v>432250</v>
      </c>
      <c r="G19" s="6"/>
    </row>
    <row r="20" spans="1:7" ht="12.75">
      <c r="A20" s="4"/>
      <c r="B20" s="5"/>
      <c r="C20" s="5"/>
      <c r="D20" s="5" t="s">
        <v>270</v>
      </c>
      <c r="E20" s="5"/>
      <c r="F20" s="31">
        <f>'Calculation Sheet'!D4*$E$7*('Front End'!$G$3*0.25)</f>
        <v>332500</v>
      </c>
      <c r="G20" s="6"/>
    </row>
    <row r="21" spans="1:7" ht="13.5" thickBot="1">
      <c r="A21" s="4"/>
      <c r="B21" s="22"/>
      <c r="C21" s="22"/>
      <c r="D21" s="22" t="s">
        <v>49</v>
      </c>
      <c r="E21" s="22"/>
      <c r="F21" s="35">
        <f>'Calculation Sheet'!D5*$E$7*('Front End'!$G$3*0.1)</f>
        <v>249375</v>
      </c>
      <c r="G21" s="6"/>
    </row>
    <row r="22" spans="1:7" ht="13.5" thickTop="1">
      <c r="A22" s="4"/>
      <c r="B22" s="5"/>
      <c r="C22" s="5"/>
      <c r="D22" s="5"/>
      <c r="E22" s="5"/>
      <c r="F22" s="31">
        <f>SUM(F19:F21)</f>
        <v>1014125</v>
      </c>
      <c r="G22" s="6"/>
    </row>
    <row r="23" spans="1:7" ht="12.75">
      <c r="A23" s="4"/>
      <c r="B23" s="5"/>
      <c r="C23" s="5"/>
      <c r="D23" s="5"/>
      <c r="E23" s="5"/>
      <c r="F23" s="31"/>
      <c r="G23" s="6"/>
    </row>
    <row r="24" spans="1:7" ht="12.75">
      <c r="A24" s="4"/>
      <c r="B24" s="15" t="s">
        <v>505</v>
      </c>
      <c r="C24" s="5"/>
      <c r="D24" s="5"/>
      <c r="E24" s="5"/>
      <c r="F24" s="5"/>
      <c r="G24" s="6"/>
    </row>
    <row r="25" spans="1:7" ht="12.75">
      <c r="A25" s="4"/>
      <c r="B25" s="5"/>
      <c r="C25" s="5" t="s">
        <v>142</v>
      </c>
      <c r="D25" s="5"/>
      <c r="E25" s="5"/>
      <c r="F25" s="31"/>
      <c r="G25" s="6"/>
    </row>
    <row r="26" spans="1:7" ht="12.75">
      <c r="A26" s="4"/>
      <c r="B26" s="5"/>
      <c r="C26" s="5"/>
      <c r="D26" s="5" t="s">
        <v>48</v>
      </c>
      <c r="E26" s="5"/>
      <c r="F26" s="31">
        <f>'Calculation Sheet'!D3*$E$6*('Front End'!$G$3*0.65)</f>
        <v>864500</v>
      </c>
      <c r="G26" s="6"/>
    </row>
    <row r="27" spans="1:7" ht="12.75">
      <c r="A27" s="4"/>
      <c r="B27" s="5"/>
      <c r="C27" s="5"/>
      <c r="D27" s="5" t="s">
        <v>270</v>
      </c>
      <c r="E27" s="5"/>
      <c r="F27" s="31">
        <f>'Calculation Sheet'!D4*$E$6*('Front End'!$G$3*0.25)</f>
        <v>665000</v>
      </c>
      <c r="G27" s="6"/>
    </row>
    <row r="28" spans="1:7" ht="13.5" thickBot="1">
      <c r="A28" s="4"/>
      <c r="B28" s="22"/>
      <c r="C28" s="22"/>
      <c r="D28" s="22" t="s">
        <v>49</v>
      </c>
      <c r="E28" s="22"/>
      <c r="F28" s="35">
        <f>'Calculation Sheet'!D5*$E$6*('Front End'!$G$3*0.1)</f>
        <v>498750</v>
      </c>
      <c r="G28" s="6"/>
    </row>
    <row r="29" spans="1:7" ht="13.5" thickTop="1">
      <c r="A29" s="4"/>
      <c r="B29" s="5" t="s">
        <v>269</v>
      </c>
      <c r="C29" s="5"/>
      <c r="D29" s="5"/>
      <c r="E29" s="5"/>
      <c r="F29" s="31">
        <f>SUM(F26:F28)</f>
        <v>2028250</v>
      </c>
      <c r="G29" s="6"/>
    </row>
    <row r="30" spans="1:7" ht="13.5" thickBot="1">
      <c r="A30" s="4"/>
      <c r="B30" s="5"/>
      <c r="C30" s="5"/>
      <c r="D30" s="5"/>
      <c r="E30" s="5"/>
      <c r="F30" s="31"/>
      <c r="G30" s="6"/>
    </row>
    <row r="31" spans="1:7" ht="14.25" thickBot="1" thickTop="1">
      <c r="A31" s="4"/>
      <c r="B31" s="37" t="s">
        <v>143</v>
      </c>
      <c r="C31" s="38"/>
      <c r="D31" s="38"/>
      <c r="E31" s="38"/>
      <c r="F31" s="150">
        <v>3062657.5</v>
      </c>
      <c r="G31" s="6"/>
    </row>
    <row r="32" spans="1:7" ht="13.5" thickTop="1">
      <c r="A32" s="4"/>
      <c r="B32" s="5"/>
      <c r="C32" s="5"/>
      <c r="D32" s="5"/>
      <c r="E32" s="5"/>
      <c r="F32" s="5"/>
      <c r="G32" s="6"/>
    </row>
    <row r="33" spans="1:7" ht="13.5" thickBot="1">
      <c r="A33" s="7"/>
      <c r="B33" s="8"/>
      <c r="C33" s="8"/>
      <c r="D33" s="8"/>
      <c r="E33" s="8"/>
      <c r="F33" s="8"/>
      <c r="G33" s="9"/>
    </row>
    <row r="34" ht="13.5" thickTop="1"/>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t="s">
        <v>249</v>
      </c>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60">
      <c r="A49" s="134"/>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60">
      <c r="A60" s="133"/>
      <c r="B60" s="133"/>
      <c r="C60" s="133"/>
      <c r="D60" s="134"/>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row r="70" spans="1:15" ht="12.75">
      <c r="A70" s="133"/>
      <c r="B70" s="133"/>
      <c r="C70" s="133"/>
      <c r="D70" s="133"/>
      <c r="E70" s="133"/>
      <c r="F70" s="133"/>
      <c r="G70" s="133"/>
      <c r="H70" s="133"/>
      <c r="I70" s="133"/>
      <c r="J70" s="133"/>
      <c r="K70" s="133"/>
      <c r="L70" s="133"/>
      <c r="M70" s="133"/>
      <c r="N70" s="133"/>
      <c r="O70" s="133"/>
    </row>
    <row r="71" spans="1:15" ht="12.75">
      <c r="A71" s="133"/>
      <c r="B71" s="133"/>
      <c r="C71" s="133"/>
      <c r="D71" s="133"/>
      <c r="E71" s="133"/>
      <c r="F71" s="133"/>
      <c r="G71" s="133"/>
      <c r="H71" s="133"/>
      <c r="I71" s="133"/>
      <c r="J71" s="133"/>
      <c r="K71" s="133"/>
      <c r="L71" s="133"/>
      <c r="M71" s="133"/>
      <c r="N71" s="133"/>
      <c r="O71" s="133"/>
    </row>
    <row r="72" spans="1:15" ht="12.75">
      <c r="A72" s="133"/>
      <c r="B72" s="133"/>
      <c r="C72" s="133"/>
      <c r="D72" s="133"/>
      <c r="E72" s="133"/>
      <c r="F72" s="133"/>
      <c r="G72" s="133"/>
      <c r="H72" s="133"/>
      <c r="I72" s="133"/>
      <c r="J72" s="133"/>
      <c r="K72" s="133"/>
      <c r="L72" s="133"/>
      <c r="M72" s="133"/>
      <c r="N72" s="133"/>
      <c r="O72" s="133"/>
    </row>
    <row r="73" spans="1:15" ht="12.75">
      <c r="A73" s="133"/>
      <c r="B73" s="133"/>
      <c r="C73" s="133"/>
      <c r="D73" s="133"/>
      <c r="E73" s="133"/>
      <c r="F73" s="133"/>
      <c r="G73" s="133"/>
      <c r="H73" s="133"/>
      <c r="I73" s="133"/>
      <c r="J73" s="133"/>
      <c r="K73" s="133"/>
      <c r="L73" s="133"/>
      <c r="M73" s="133"/>
      <c r="N73" s="133"/>
      <c r="O73" s="133"/>
    </row>
    <row r="74" spans="1:15" ht="12.75">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76" spans="1:15" ht="12.75">
      <c r="A76" s="133"/>
      <c r="B76" s="133"/>
      <c r="C76" s="133"/>
      <c r="D76" s="133"/>
      <c r="E76" s="133"/>
      <c r="F76" s="133"/>
      <c r="G76" s="133"/>
      <c r="H76" s="133"/>
      <c r="I76" s="133"/>
      <c r="J76" s="133"/>
      <c r="K76" s="133"/>
      <c r="L76" s="133"/>
      <c r="M76" s="133"/>
      <c r="N76" s="133"/>
      <c r="O76" s="133"/>
    </row>
    <row r="77" spans="1:15" ht="12.75">
      <c r="A77" s="133"/>
      <c r="B77" s="133"/>
      <c r="C77" s="133"/>
      <c r="D77" s="133"/>
      <c r="E77" s="133"/>
      <c r="F77" s="133"/>
      <c r="G77" s="133"/>
      <c r="H77" s="133"/>
      <c r="I77" s="133"/>
      <c r="J77" s="133"/>
      <c r="K77" s="133"/>
      <c r="L77" s="133"/>
      <c r="M77" s="133"/>
      <c r="N77" s="133"/>
      <c r="O77" s="133"/>
    </row>
  </sheetData>
  <sheetProtection password="D023" sheet="1" objects="1" scenarios="1"/>
  <printOptions/>
  <pageMargins left="0.75" right="0.75" top="1" bottom="1" header="0.5" footer="0.5"/>
  <pageSetup fitToHeight="1" fitToWidth="1" horizontalDpi="600" verticalDpi="600" orientation="portrait" scale="98" r:id="rId1"/>
  <headerFooter alignWithMargins="0">
    <oddHeader>&amp;CTotal Cost of Application Ownership (TCA) Calculator</oddHeader>
    <oddFooter>&amp;LThe Tolly Group TCA Calculator&amp;R© The Tolly Group, 1999</oddFooter>
  </headerFooter>
</worksheet>
</file>

<file path=xl/worksheets/sheet55.xml><?xml version="1.0" encoding="utf-8"?>
<worksheet xmlns="http://schemas.openxmlformats.org/spreadsheetml/2006/main" xmlns:r="http://schemas.openxmlformats.org/officeDocument/2006/relationships">
  <sheetPr codeName="Sheet171">
    <pageSetUpPr fitToPage="1"/>
  </sheetPr>
  <dimension ref="A1:O67"/>
  <sheetViews>
    <sheetView workbookViewId="0" topLeftCell="A28">
      <selection activeCell="F50" sqref="F50"/>
    </sheetView>
  </sheetViews>
  <sheetFormatPr defaultColWidth="9.140625" defaultRowHeight="12.75"/>
  <cols>
    <col min="6" max="6" width="15.57421875" style="10" customWidth="1"/>
    <col min="13" max="13" width="23.140625" style="0" customWidth="1"/>
  </cols>
  <sheetData>
    <row r="1" spans="1:7" ht="16.5" thickTop="1">
      <c r="A1" s="29" t="s">
        <v>506</v>
      </c>
      <c r="B1" s="3"/>
      <c r="C1" s="3"/>
      <c r="D1" s="3"/>
      <c r="E1" s="3"/>
      <c r="F1" s="69"/>
      <c r="G1" s="13"/>
    </row>
    <row r="2" spans="1:7" ht="12.75">
      <c r="A2" s="4"/>
      <c r="B2" s="5"/>
      <c r="C2" s="5"/>
      <c r="D2" s="5"/>
      <c r="E2" s="5"/>
      <c r="F2" s="31"/>
      <c r="G2" s="6"/>
    </row>
    <row r="3" spans="1:7" ht="12.75">
      <c r="A3" s="4"/>
      <c r="B3" s="5" t="s">
        <v>148</v>
      </c>
      <c r="C3" s="5"/>
      <c r="D3" s="44"/>
      <c r="E3" s="44"/>
      <c r="F3" s="70"/>
      <c r="G3" s="6"/>
    </row>
    <row r="4" spans="1:7" ht="12.75">
      <c r="A4" s="4"/>
      <c r="B4" s="5"/>
      <c r="C4" s="5" t="s">
        <v>43</v>
      </c>
      <c r="D4" s="5"/>
      <c r="E4" s="5"/>
      <c r="F4" s="31">
        <f>'Citrix Application Development'!F32</f>
        <v>31982.21153846154</v>
      </c>
      <c r="G4" s="6"/>
    </row>
    <row r="5" spans="1:7" ht="12.75">
      <c r="A5" s="4"/>
      <c r="B5" s="5"/>
      <c r="C5" s="5" t="s">
        <v>61</v>
      </c>
      <c r="D5" s="5"/>
      <c r="E5" s="5"/>
      <c r="F5" s="31">
        <f>'Citrix Server Soft. Acquisition'!H33</f>
        <v>1309836.1538461538</v>
      </c>
      <c r="G5" s="6"/>
    </row>
    <row r="6" spans="1:7" ht="12.75">
      <c r="A6" s="4"/>
      <c r="B6" s="5"/>
      <c r="C6" s="5" t="s">
        <v>74</v>
      </c>
      <c r="D6" s="5"/>
      <c r="E6" s="5"/>
      <c r="F6" s="31">
        <f>'Citrix Server Soft. Acquisition'!H33</f>
        <v>1309836.1538461538</v>
      </c>
      <c r="G6" s="6"/>
    </row>
    <row r="7" spans="1:7" ht="12.75">
      <c r="A7" s="4"/>
      <c r="B7" s="5"/>
      <c r="C7" s="5" t="s">
        <v>149</v>
      </c>
      <c r="D7" s="5"/>
      <c r="E7" s="5"/>
      <c r="F7" s="31">
        <f>'Citrix Application Integration'!G18</f>
        <v>2568.653846153846</v>
      </c>
      <c r="G7" s="6"/>
    </row>
    <row r="8" spans="1:7" ht="12.75">
      <c r="A8" s="4"/>
      <c r="B8" s="5"/>
      <c r="C8" s="5" t="s">
        <v>98</v>
      </c>
      <c r="D8" s="5"/>
      <c r="E8" s="5"/>
      <c r="F8" s="31">
        <f>'Citrix Application Installation'!G17*'Front End'!G3</f>
        <v>0</v>
      </c>
      <c r="G8" s="6"/>
    </row>
    <row r="9" spans="1:7" ht="12.75">
      <c r="A9" s="4"/>
      <c r="B9" s="5"/>
      <c r="C9" s="5" t="s">
        <v>99</v>
      </c>
      <c r="D9" s="5"/>
      <c r="E9" s="5"/>
      <c r="F9" s="31">
        <f>'Citrix Application Training'!G40</f>
        <v>4013547.692307692</v>
      </c>
      <c r="G9" s="6"/>
    </row>
    <row r="10" spans="1:7" ht="12.75">
      <c r="A10" s="4"/>
      <c r="B10" s="5"/>
      <c r="C10" s="5" t="s">
        <v>100</v>
      </c>
      <c r="D10" s="5"/>
      <c r="E10" s="5"/>
      <c r="F10" s="31">
        <f>'Citrix Hardware Procurement'!H81</f>
        <v>2436921.5384615385</v>
      </c>
      <c r="G10" s="6"/>
    </row>
    <row r="11" spans="1:7" ht="13.5" thickBot="1">
      <c r="A11" s="4"/>
      <c r="B11" s="22"/>
      <c r="C11" s="22" t="s">
        <v>228</v>
      </c>
      <c r="D11" s="22"/>
      <c r="E11" s="22"/>
      <c r="F11" s="35">
        <f>'Citrix WAN Infrastructure'!G44</f>
        <v>1136027</v>
      </c>
      <c r="G11" s="6"/>
    </row>
    <row r="12" spans="1:7" ht="13.5" thickTop="1">
      <c r="A12" s="4"/>
      <c r="B12" s="5" t="s">
        <v>150</v>
      </c>
      <c r="C12" s="5"/>
      <c r="D12" s="5"/>
      <c r="E12" s="5"/>
      <c r="F12" s="31">
        <f>SUM(F4:F11)</f>
        <v>10240719.403846154</v>
      </c>
      <c r="G12" s="6"/>
    </row>
    <row r="13" spans="1:7" ht="12.75">
      <c r="A13" s="4"/>
      <c r="B13" s="5"/>
      <c r="C13" s="5"/>
      <c r="D13" s="5"/>
      <c r="E13" s="5"/>
      <c r="F13" s="31"/>
      <c r="G13" s="6"/>
    </row>
    <row r="14" spans="1:7" ht="12.75">
      <c r="A14" s="4"/>
      <c r="B14" s="5" t="s">
        <v>151</v>
      </c>
      <c r="C14" s="5"/>
      <c r="D14" s="44"/>
      <c r="E14" s="44"/>
      <c r="F14" s="70"/>
      <c r="G14" s="6"/>
    </row>
    <row r="15" spans="1:7" ht="12.75">
      <c r="A15" s="4"/>
      <c r="B15" s="5"/>
      <c r="C15" s="5" t="s">
        <v>127</v>
      </c>
      <c r="D15" s="5"/>
      <c r="E15" s="5"/>
      <c r="F15" s="31">
        <f>'Citrix Application Maintenance'!G20*'Front End'!G3</f>
        <v>3047675</v>
      </c>
      <c r="G15" s="6"/>
    </row>
    <row r="16" spans="1:7" ht="12.75">
      <c r="A16" s="4"/>
      <c r="B16" s="5"/>
      <c r="C16" s="5" t="s">
        <v>132</v>
      </c>
      <c r="D16" s="5"/>
      <c r="E16" s="5"/>
      <c r="F16" s="31">
        <f>'Citrix Server Operations'!F14</f>
        <v>131678.29881656804</v>
      </c>
      <c r="G16" s="6"/>
    </row>
    <row r="17" spans="1:7" ht="12.75">
      <c r="A17" s="4"/>
      <c r="B17" s="5"/>
      <c r="C17" s="5" t="s">
        <v>44</v>
      </c>
      <c r="D17" s="5"/>
      <c r="E17" s="5"/>
      <c r="F17" s="31">
        <f>'Calculation Sheet'!B73</f>
        <v>1090073.4493670885</v>
      </c>
      <c r="G17" s="6"/>
    </row>
    <row r="18" spans="1:7" ht="12.75">
      <c r="A18" s="4"/>
      <c r="B18" s="5"/>
      <c r="C18" s="5" t="s">
        <v>141</v>
      </c>
      <c r="D18" s="5"/>
      <c r="E18" s="5"/>
      <c r="F18" s="31">
        <f>'Citrix Loss of Productivity'!F31</f>
        <v>3062657.5</v>
      </c>
      <c r="G18" s="6"/>
    </row>
    <row r="19" spans="1:7" ht="13.5" thickBot="1">
      <c r="A19" s="4"/>
      <c r="B19" s="22"/>
      <c r="C19" s="22" t="s">
        <v>152</v>
      </c>
      <c r="D19" s="22"/>
      <c r="E19" s="22"/>
      <c r="F19" s="35">
        <f>'Building Infrastructure'!F19</f>
        <v>291400</v>
      </c>
      <c r="G19" s="6"/>
    </row>
    <row r="20" spans="1:7" ht="13.5" thickTop="1">
      <c r="A20" s="4"/>
      <c r="B20" s="5" t="s">
        <v>153</v>
      </c>
      <c r="C20" s="5"/>
      <c r="D20" s="5"/>
      <c r="E20" s="5"/>
      <c r="F20" s="31">
        <f>SUM(F15:F19)</f>
        <v>7623484.2481836565</v>
      </c>
      <c r="G20" s="6"/>
    </row>
    <row r="21" spans="1:7" ht="13.5" thickBot="1">
      <c r="A21" s="4"/>
      <c r="B21" s="5"/>
      <c r="C21" s="5"/>
      <c r="D21" s="5"/>
      <c r="E21" s="5"/>
      <c r="F21" s="31"/>
      <c r="G21" s="6"/>
    </row>
    <row r="22" spans="1:7" ht="14.25" thickBot="1" thickTop="1">
      <c r="A22" s="4"/>
      <c r="B22" s="37"/>
      <c r="C22" s="38"/>
      <c r="D22" s="38"/>
      <c r="E22" s="38"/>
      <c r="F22" s="39">
        <f>SUM(F20,F12)</f>
        <v>17864203.652029812</v>
      </c>
      <c r="G22" s="6"/>
    </row>
    <row r="23" spans="1:7" ht="13.5" thickTop="1">
      <c r="A23" s="4"/>
      <c r="B23" s="5"/>
      <c r="C23" s="5"/>
      <c r="D23" s="5"/>
      <c r="E23" s="5"/>
      <c r="F23" s="31"/>
      <c r="G23" s="6"/>
    </row>
    <row r="24" spans="1:7" ht="13.5" thickBot="1">
      <c r="A24" s="7"/>
      <c r="B24" s="8"/>
      <c r="C24" s="8"/>
      <c r="D24" s="8"/>
      <c r="E24" s="8"/>
      <c r="F24" s="50"/>
      <c r="G24" s="9"/>
    </row>
    <row r="25" ht="13.5" thickTop="1"/>
    <row r="28" spans="1:15" ht="12.75">
      <c r="A28" s="133"/>
      <c r="B28" s="133"/>
      <c r="C28" s="133"/>
      <c r="D28" s="133"/>
      <c r="E28" s="133"/>
      <c r="F28" s="133"/>
      <c r="G28" s="133"/>
      <c r="H28" s="133"/>
      <c r="I28" s="133"/>
      <c r="J28" s="133"/>
      <c r="K28" s="133"/>
      <c r="L28" s="133"/>
      <c r="M28" s="133"/>
      <c r="N28" s="133"/>
      <c r="O28" s="133"/>
    </row>
    <row r="29" spans="1:15" ht="12.75">
      <c r="A29" s="133"/>
      <c r="B29" s="133"/>
      <c r="C29" s="133"/>
      <c r="D29" s="133"/>
      <c r="E29" s="133"/>
      <c r="F29" s="133"/>
      <c r="G29" s="133"/>
      <c r="H29" s="133"/>
      <c r="I29" s="133"/>
      <c r="J29" s="133"/>
      <c r="K29" s="133"/>
      <c r="L29" s="133"/>
      <c r="M29" s="133"/>
      <c r="N29" s="133"/>
      <c r="O29" s="133"/>
    </row>
    <row r="30" spans="1:15" ht="12.75">
      <c r="A30" s="133"/>
      <c r="B30" s="133"/>
      <c r="C30" s="133"/>
      <c r="D30" s="133"/>
      <c r="E30" s="133"/>
      <c r="F30" s="133"/>
      <c r="G30" s="133"/>
      <c r="H30" s="133"/>
      <c r="I30" s="133"/>
      <c r="J30" s="133"/>
      <c r="K30" s="133"/>
      <c r="L30" s="133"/>
      <c r="M30" s="133"/>
      <c r="N30" s="133"/>
      <c r="O30" s="133"/>
    </row>
    <row r="31" spans="1:15" ht="60">
      <c r="A31" s="134" t="s">
        <v>249</v>
      </c>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12.75">
      <c r="A33" s="133"/>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60">
      <c r="A39" s="134"/>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12.75">
      <c r="A41" s="133"/>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60">
      <c r="A50" s="133"/>
      <c r="B50" s="133"/>
      <c r="C50" s="133"/>
      <c r="D50" s="134"/>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sheetData>
  <sheetProtection password="D023" sheet="1" objects="1" scenarios="1"/>
  <printOptions/>
  <pageMargins left="0.75" right="0.75" top="1" bottom="1" header="0.5" footer="0.5"/>
  <pageSetup fitToHeight="1" fitToWidth="1" horizontalDpi="600" verticalDpi="600" orientation="portrait" r:id="rId1"/>
  <headerFooter alignWithMargins="0">
    <oddHeader>&amp;CTotal Cost of Application Ownership (TCA) Calculator</oddHeader>
    <oddFooter>&amp;LThe Tolly Group TCA Calculator&amp;R© The Tolly Group, 1999</oddFooter>
  </headerFooter>
</worksheet>
</file>

<file path=xl/worksheets/sheet56.xml><?xml version="1.0" encoding="utf-8"?>
<worksheet xmlns="http://schemas.openxmlformats.org/spreadsheetml/2006/main" xmlns:r="http://schemas.openxmlformats.org/officeDocument/2006/relationships">
  <sheetPr codeName="Sheet161">
    <pageSetUpPr fitToPage="1"/>
  </sheetPr>
  <dimension ref="A1:O69"/>
  <sheetViews>
    <sheetView workbookViewId="0" topLeftCell="A30">
      <selection activeCell="A22" sqref="A22"/>
    </sheetView>
  </sheetViews>
  <sheetFormatPr defaultColWidth="9.140625" defaultRowHeight="12.75"/>
  <cols>
    <col min="2" max="2" width="13.7109375" style="0" customWidth="1"/>
    <col min="3" max="3" width="12.140625" style="0" customWidth="1"/>
    <col min="4" max="4" width="16.57421875" style="0" customWidth="1"/>
    <col min="5" max="5" width="15.8515625" style="0" customWidth="1"/>
    <col min="6" max="6" width="16.140625" style="0" customWidth="1"/>
  </cols>
  <sheetData>
    <row r="1" spans="1:7" ht="15.75" thickTop="1">
      <c r="A1" s="34" t="s">
        <v>192</v>
      </c>
      <c r="B1" s="3"/>
      <c r="C1" s="3"/>
      <c r="D1" s="3"/>
      <c r="E1" s="3"/>
      <c r="F1" s="3"/>
      <c r="G1" s="13"/>
    </row>
    <row r="2" spans="1:7" ht="12.75">
      <c r="A2" s="4"/>
      <c r="B2" s="5"/>
      <c r="C2" s="5"/>
      <c r="D2" s="5"/>
      <c r="E2" s="5"/>
      <c r="F2" s="5"/>
      <c r="G2" s="6"/>
    </row>
    <row r="3" spans="1:7" ht="15.75">
      <c r="A3" s="4"/>
      <c r="B3" s="30" t="s">
        <v>507</v>
      </c>
      <c r="C3" s="5"/>
      <c r="D3" s="5"/>
      <c r="E3" s="5"/>
      <c r="F3" s="5"/>
      <c r="G3" s="6"/>
    </row>
    <row r="4" spans="1:7" ht="12.75">
      <c r="A4" s="4"/>
      <c r="B4" s="5"/>
      <c r="C4" s="5"/>
      <c r="D4" s="5"/>
      <c r="E4" s="5"/>
      <c r="F4" s="5"/>
      <c r="G4" s="6"/>
    </row>
    <row r="5" spans="1:7" ht="12.75">
      <c r="A5" s="4"/>
      <c r="B5" s="15" t="s">
        <v>508</v>
      </c>
      <c r="C5" s="5"/>
      <c r="D5" s="5" t="s">
        <v>172</v>
      </c>
      <c r="E5" s="5" t="s">
        <v>248</v>
      </c>
      <c r="F5" s="143" t="s">
        <v>41</v>
      </c>
      <c r="G5" s="6"/>
    </row>
    <row r="6" spans="1:7" ht="12.75">
      <c r="A6" s="4"/>
      <c r="B6" s="5"/>
      <c r="C6" s="5" t="s">
        <v>133</v>
      </c>
      <c r="D6" s="88">
        <f>'Detailed Data 2'!G35</f>
        <v>2</v>
      </c>
      <c r="E6" s="85">
        <f>'Detailed Data 2'!H35</f>
        <v>40000</v>
      </c>
      <c r="F6" s="135">
        <f>SUM(E6*'FatClient Base Data'!F22+E6)*D6</f>
        <v>106400</v>
      </c>
      <c r="G6" s="6"/>
    </row>
    <row r="7" spans="1:7" ht="13.5" thickBot="1">
      <c r="A7" s="4"/>
      <c r="B7" s="22"/>
      <c r="C7" s="22" t="s">
        <v>169</v>
      </c>
      <c r="D7" s="22"/>
      <c r="E7" s="22"/>
      <c r="F7" s="91">
        <f>'Detailed Data 2'!H36</f>
        <v>0</v>
      </c>
      <c r="G7" s="6"/>
    </row>
    <row r="8" spans="1:7" ht="13.5" thickTop="1">
      <c r="A8" s="4"/>
      <c r="B8" s="5" t="s">
        <v>269</v>
      </c>
      <c r="C8" s="5"/>
      <c r="D8" s="5"/>
      <c r="E8" s="5"/>
      <c r="F8" s="31">
        <f>SUM(F6:F7)</f>
        <v>106400</v>
      </c>
      <c r="G8" s="6"/>
    </row>
    <row r="9" spans="1:7" ht="12.75">
      <c r="A9" s="4"/>
      <c r="B9" s="5"/>
      <c r="C9" s="5"/>
      <c r="D9" s="5"/>
      <c r="E9" s="5"/>
      <c r="F9" s="31"/>
      <c r="G9" s="6"/>
    </row>
    <row r="10" spans="1:7" ht="12.75">
      <c r="A10" s="4"/>
      <c r="B10" s="15" t="s">
        <v>509</v>
      </c>
      <c r="C10" s="5"/>
      <c r="D10" s="5"/>
      <c r="E10" s="5"/>
      <c r="F10" s="139" t="s">
        <v>261</v>
      </c>
      <c r="G10" s="6"/>
    </row>
    <row r="11" spans="1:7" ht="12.75">
      <c r="A11" s="4"/>
      <c r="B11" s="5"/>
      <c r="C11" s="5" t="s">
        <v>144</v>
      </c>
      <c r="D11" s="5"/>
      <c r="E11" s="5"/>
      <c r="F11" s="85">
        <f>'Detailed Data 2'!H38</f>
        <v>15000</v>
      </c>
      <c r="G11" s="6"/>
    </row>
    <row r="12" spans="1:7" ht="12.75">
      <c r="A12" s="4"/>
      <c r="B12" s="5"/>
      <c r="C12" s="5" t="s">
        <v>260</v>
      </c>
      <c r="D12" s="5"/>
      <c r="E12" s="5"/>
      <c r="F12" s="85">
        <f>'Detailed Data 2'!H39</f>
        <v>5000</v>
      </c>
      <c r="G12" s="6"/>
    </row>
    <row r="13" spans="1:7" ht="12.75">
      <c r="A13" s="4"/>
      <c r="B13" s="5"/>
      <c r="C13" s="5" t="s">
        <v>258</v>
      </c>
      <c r="D13" s="5"/>
      <c r="E13" s="5"/>
      <c r="F13" s="85">
        <f>'Detailed Data 2'!H40</f>
        <v>5000</v>
      </c>
      <c r="G13" s="6"/>
    </row>
    <row r="14" spans="1:7" ht="12.75">
      <c r="A14" s="4"/>
      <c r="B14" s="5"/>
      <c r="C14" s="5" t="s">
        <v>259</v>
      </c>
      <c r="D14" s="5"/>
      <c r="E14" s="5"/>
      <c r="F14" s="85">
        <f>'Detailed Data 2'!H41</f>
        <v>0</v>
      </c>
      <c r="G14" s="6"/>
    </row>
    <row r="15" spans="1:7" ht="12.75">
      <c r="A15" s="4"/>
      <c r="B15" s="5"/>
      <c r="C15" s="5" t="s">
        <v>145</v>
      </c>
      <c r="D15" s="5"/>
      <c r="E15" s="5"/>
      <c r="F15" s="85">
        <f>'Detailed Data 2'!H42</f>
        <v>10000</v>
      </c>
      <c r="G15" s="6"/>
    </row>
    <row r="16" spans="1:7" ht="13.5" thickBot="1">
      <c r="A16" s="4"/>
      <c r="B16" s="22"/>
      <c r="C16" s="22" t="s">
        <v>146</v>
      </c>
      <c r="D16" s="22"/>
      <c r="E16" s="22"/>
      <c r="F16" s="91">
        <f>'Detailed Data 2'!H43</f>
        <v>150000</v>
      </c>
      <c r="G16" s="6"/>
    </row>
    <row r="17" spans="1:7" ht="13.5" thickTop="1">
      <c r="A17" s="4"/>
      <c r="B17" s="5" t="s">
        <v>269</v>
      </c>
      <c r="C17" s="5"/>
      <c r="D17" s="5"/>
      <c r="E17" s="5"/>
      <c r="F17" s="31">
        <f>SUM(F11:F16)</f>
        <v>185000</v>
      </c>
      <c r="G17" s="6"/>
    </row>
    <row r="18" spans="1:7" ht="13.5" thickBot="1">
      <c r="A18" s="4"/>
      <c r="B18" s="5"/>
      <c r="C18" s="5"/>
      <c r="D18" s="5"/>
      <c r="E18" s="5"/>
      <c r="F18" s="31"/>
      <c r="G18" s="6"/>
    </row>
    <row r="19" spans="1:7" ht="14.25" thickBot="1" thickTop="1">
      <c r="A19" s="4"/>
      <c r="B19" s="37" t="s">
        <v>147</v>
      </c>
      <c r="C19" s="38"/>
      <c r="D19" s="38"/>
      <c r="E19" s="38"/>
      <c r="F19" s="39">
        <f>F8+F17</f>
        <v>291400</v>
      </c>
      <c r="G19" s="6"/>
    </row>
    <row r="20" spans="1:7" ht="13.5" thickTop="1">
      <c r="A20" s="4"/>
      <c r="B20" s="5"/>
      <c r="C20" s="5"/>
      <c r="D20" s="5"/>
      <c r="E20" s="5"/>
      <c r="F20" s="5"/>
      <c r="G20" s="6"/>
    </row>
    <row r="21" spans="1:7" ht="13.5" thickBot="1">
      <c r="A21" s="7"/>
      <c r="B21" s="8"/>
      <c r="C21" s="8"/>
      <c r="D21" s="8"/>
      <c r="E21" s="8"/>
      <c r="F21" s="8"/>
      <c r="G21" s="9"/>
    </row>
    <row r="22" ht="13.5" thickTop="1"/>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5" ht="12.75">
      <c r="A32" s="133"/>
      <c r="B32" s="133"/>
      <c r="C32" s="133"/>
      <c r="D32" s="133"/>
      <c r="E32" s="133"/>
      <c r="F32" s="133"/>
      <c r="G32" s="133"/>
      <c r="H32" s="133"/>
      <c r="I32" s="133"/>
      <c r="J32" s="133"/>
      <c r="K32" s="133"/>
      <c r="L32" s="133"/>
      <c r="M32" s="133"/>
      <c r="N32" s="133"/>
      <c r="O32" s="133"/>
    </row>
    <row r="33" spans="1:15" ht="60">
      <c r="A33" s="134" t="s">
        <v>249</v>
      </c>
      <c r="B33" s="133"/>
      <c r="C33" s="133"/>
      <c r="D33" s="133"/>
      <c r="E33" s="133"/>
      <c r="F33" s="133"/>
      <c r="G33" s="133"/>
      <c r="H33" s="133"/>
      <c r="I33" s="133"/>
      <c r="J33" s="133"/>
      <c r="K33" s="133"/>
      <c r="L33" s="133"/>
      <c r="M33" s="133"/>
      <c r="N33" s="133"/>
      <c r="O33" s="133"/>
    </row>
    <row r="34" spans="1:15" ht="12.75">
      <c r="A34" s="133"/>
      <c r="B34" s="133"/>
      <c r="C34" s="133"/>
      <c r="D34" s="133"/>
      <c r="E34" s="133"/>
      <c r="F34" s="133"/>
      <c r="G34" s="133"/>
      <c r="H34" s="133"/>
      <c r="I34" s="133"/>
      <c r="J34" s="133"/>
      <c r="K34" s="133"/>
      <c r="L34" s="133"/>
      <c r="M34" s="133"/>
      <c r="N34" s="133"/>
      <c r="O34" s="133"/>
    </row>
    <row r="35" spans="1:15" ht="12.75">
      <c r="A35" s="133"/>
      <c r="B35" s="133"/>
      <c r="C35" s="133"/>
      <c r="D35" s="133"/>
      <c r="E35" s="133"/>
      <c r="F35" s="133"/>
      <c r="G35" s="133"/>
      <c r="H35" s="133"/>
      <c r="I35" s="133"/>
      <c r="J35" s="133"/>
      <c r="K35" s="133"/>
      <c r="L35" s="133"/>
      <c r="M35" s="133"/>
      <c r="N35" s="133"/>
      <c r="O35" s="133"/>
    </row>
    <row r="36" spans="1:15" ht="12.75">
      <c r="A36" s="133"/>
      <c r="B36" s="133"/>
      <c r="C36" s="133"/>
      <c r="D36" s="133"/>
      <c r="E36" s="133"/>
      <c r="F36" s="133"/>
      <c r="G36" s="133"/>
      <c r="H36" s="133"/>
      <c r="I36" s="133"/>
      <c r="J36" s="133"/>
      <c r="K36" s="133"/>
      <c r="L36" s="133"/>
      <c r="M36" s="133"/>
      <c r="N36" s="133"/>
      <c r="O36" s="133"/>
    </row>
    <row r="37" spans="1:15" ht="12.75">
      <c r="A37" s="133"/>
      <c r="B37" s="133"/>
      <c r="C37" s="133"/>
      <c r="D37" s="133"/>
      <c r="E37" s="133"/>
      <c r="F37" s="133"/>
      <c r="G37" s="133"/>
      <c r="H37" s="133"/>
      <c r="I37" s="133"/>
      <c r="J37" s="133"/>
      <c r="K37" s="133"/>
      <c r="L37" s="133"/>
      <c r="M37" s="133"/>
      <c r="N37" s="133"/>
      <c r="O37" s="133"/>
    </row>
    <row r="38" spans="1:15" ht="12.75">
      <c r="A38" s="133"/>
      <c r="B38" s="133"/>
      <c r="C38" s="133"/>
      <c r="D38" s="133"/>
      <c r="E38" s="133"/>
      <c r="F38" s="133"/>
      <c r="G38" s="133"/>
      <c r="H38" s="133"/>
      <c r="I38" s="133"/>
      <c r="J38" s="133"/>
      <c r="K38" s="133"/>
      <c r="L38" s="133"/>
      <c r="M38" s="133"/>
      <c r="N38" s="133"/>
      <c r="O38" s="133"/>
    </row>
    <row r="39" spans="1:15" ht="12.75">
      <c r="A39" s="133"/>
      <c r="B39" s="133"/>
      <c r="C39" s="133"/>
      <c r="D39" s="133"/>
      <c r="E39" s="133"/>
      <c r="F39" s="133"/>
      <c r="G39" s="133"/>
      <c r="H39" s="133"/>
      <c r="I39" s="133"/>
      <c r="J39" s="133"/>
      <c r="K39" s="133"/>
      <c r="L39" s="133"/>
      <c r="M39" s="133"/>
      <c r="N39" s="133"/>
      <c r="O39" s="133"/>
    </row>
    <row r="40" spans="1:15" ht="12.75">
      <c r="A40" s="133"/>
      <c r="B40" s="133"/>
      <c r="C40" s="133"/>
      <c r="D40" s="133"/>
      <c r="E40" s="133"/>
      <c r="F40" s="133"/>
      <c r="G40" s="133"/>
      <c r="H40" s="133"/>
      <c r="I40" s="133"/>
      <c r="J40" s="133"/>
      <c r="K40" s="133"/>
      <c r="L40" s="133"/>
      <c r="M40" s="133"/>
      <c r="N40" s="133"/>
      <c r="O40" s="133"/>
    </row>
    <row r="41" spans="1:15" ht="60">
      <c r="A41" s="134"/>
      <c r="B41" s="133"/>
      <c r="C41" s="133"/>
      <c r="D41" s="133"/>
      <c r="E41" s="133"/>
      <c r="F41" s="133"/>
      <c r="G41" s="133"/>
      <c r="H41" s="133"/>
      <c r="I41" s="133"/>
      <c r="J41" s="133"/>
      <c r="K41" s="133"/>
      <c r="L41" s="133"/>
      <c r="M41" s="133"/>
      <c r="N41" s="133"/>
      <c r="O41" s="133"/>
    </row>
    <row r="42" spans="1:15" ht="12.75">
      <c r="A42" s="133"/>
      <c r="B42" s="133"/>
      <c r="C42" s="133"/>
      <c r="D42" s="133"/>
      <c r="E42" s="133"/>
      <c r="F42" s="133"/>
      <c r="G42" s="133"/>
      <c r="H42" s="133"/>
      <c r="I42" s="133"/>
      <c r="J42" s="133"/>
      <c r="K42" s="133"/>
      <c r="L42" s="133"/>
      <c r="M42" s="133"/>
      <c r="N42" s="133"/>
      <c r="O42" s="133"/>
    </row>
    <row r="43" spans="1:15" ht="12.75">
      <c r="A43" s="133"/>
      <c r="B43" s="133"/>
      <c r="C43" s="133"/>
      <c r="D43" s="133"/>
      <c r="E43" s="133"/>
      <c r="F43" s="133"/>
      <c r="G43" s="133"/>
      <c r="H43" s="133"/>
      <c r="I43" s="133"/>
      <c r="J43" s="133"/>
      <c r="K43" s="133"/>
      <c r="L43" s="133"/>
      <c r="M43" s="133"/>
      <c r="N43" s="133"/>
      <c r="O43" s="133"/>
    </row>
    <row r="44" spans="1:15" ht="12.75">
      <c r="A44" s="133"/>
      <c r="B44" s="133"/>
      <c r="C44" s="133"/>
      <c r="D44" s="133"/>
      <c r="E44" s="133"/>
      <c r="F44" s="133"/>
      <c r="G44" s="133"/>
      <c r="H44" s="133"/>
      <c r="I44" s="133"/>
      <c r="J44" s="133"/>
      <c r="K44" s="133"/>
      <c r="L44" s="133"/>
      <c r="M44" s="133"/>
      <c r="N44" s="133"/>
      <c r="O44" s="133"/>
    </row>
    <row r="45" spans="1:15" ht="12.75">
      <c r="A45" s="133"/>
      <c r="B45" s="133"/>
      <c r="C45" s="133"/>
      <c r="D45" s="133"/>
      <c r="E45" s="133"/>
      <c r="F45" s="133"/>
      <c r="G45" s="133"/>
      <c r="H45" s="133"/>
      <c r="I45" s="133"/>
      <c r="J45" s="133"/>
      <c r="K45" s="133"/>
      <c r="L45" s="133"/>
      <c r="M45" s="133"/>
      <c r="N45" s="133"/>
      <c r="O45" s="133"/>
    </row>
    <row r="46" spans="1:15" ht="12.75">
      <c r="A46" s="133"/>
      <c r="B46" s="133"/>
      <c r="C46" s="133"/>
      <c r="D46" s="133"/>
      <c r="E46" s="133"/>
      <c r="F46" s="133"/>
      <c r="G46" s="133"/>
      <c r="H46" s="133"/>
      <c r="I46" s="133"/>
      <c r="J46" s="133"/>
      <c r="K46" s="133"/>
      <c r="L46" s="133"/>
      <c r="M46" s="133"/>
      <c r="N46" s="133"/>
      <c r="O46" s="133"/>
    </row>
    <row r="47" spans="1:15" ht="12.75">
      <c r="A47" s="133"/>
      <c r="B47" s="133"/>
      <c r="C47" s="133"/>
      <c r="D47" s="133"/>
      <c r="E47" s="133"/>
      <c r="F47" s="133"/>
      <c r="G47" s="133"/>
      <c r="H47" s="133"/>
      <c r="I47" s="133"/>
      <c r="J47" s="133"/>
      <c r="K47" s="133"/>
      <c r="L47" s="133"/>
      <c r="M47" s="133"/>
      <c r="N47" s="133"/>
      <c r="O47" s="133"/>
    </row>
    <row r="48" spans="1:15" ht="12.75">
      <c r="A48" s="133"/>
      <c r="B48" s="133"/>
      <c r="C48" s="133"/>
      <c r="D48" s="133"/>
      <c r="E48" s="133"/>
      <c r="F48" s="133"/>
      <c r="G48" s="133"/>
      <c r="H48" s="133"/>
      <c r="I48" s="133"/>
      <c r="J48" s="133"/>
      <c r="K48" s="133"/>
      <c r="L48" s="133"/>
      <c r="M48" s="133"/>
      <c r="N48" s="133"/>
      <c r="O48" s="133"/>
    </row>
    <row r="49" spans="1:15" ht="12.75">
      <c r="A49" s="133"/>
      <c r="B49" s="133"/>
      <c r="C49" s="133"/>
      <c r="D49" s="133"/>
      <c r="E49" s="133"/>
      <c r="F49" s="133"/>
      <c r="G49" s="133"/>
      <c r="H49" s="133"/>
      <c r="I49" s="133"/>
      <c r="J49" s="133"/>
      <c r="K49" s="133"/>
      <c r="L49" s="133"/>
      <c r="M49" s="133"/>
      <c r="N49" s="133"/>
      <c r="O49" s="133"/>
    </row>
    <row r="50" spans="1:15" ht="12.75">
      <c r="A50" s="133"/>
      <c r="B50" s="133"/>
      <c r="C50" s="133"/>
      <c r="D50" s="133"/>
      <c r="E50" s="133"/>
      <c r="F50" s="133"/>
      <c r="G50" s="133"/>
      <c r="H50" s="133"/>
      <c r="I50" s="133"/>
      <c r="J50" s="133"/>
      <c r="K50" s="133"/>
      <c r="L50" s="133"/>
      <c r="M50" s="133"/>
      <c r="N50" s="133"/>
      <c r="O50" s="133"/>
    </row>
    <row r="51" spans="1:15" ht="12.75">
      <c r="A51" s="133"/>
      <c r="B51" s="133"/>
      <c r="C51" s="133"/>
      <c r="D51" s="133"/>
      <c r="E51" s="133"/>
      <c r="F51" s="133"/>
      <c r="G51" s="133"/>
      <c r="H51" s="133"/>
      <c r="I51" s="133"/>
      <c r="J51" s="133"/>
      <c r="K51" s="133"/>
      <c r="L51" s="133"/>
      <c r="M51" s="133"/>
      <c r="N51" s="133"/>
      <c r="O51" s="133"/>
    </row>
    <row r="52" spans="1:15" ht="60">
      <c r="A52" s="133"/>
      <c r="B52" s="133"/>
      <c r="C52" s="133"/>
      <c r="D52" s="134"/>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pans="1:15" ht="12.75">
      <c r="A65" s="133"/>
      <c r="B65" s="133"/>
      <c r="C65" s="133"/>
      <c r="D65" s="133"/>
      <c r="E65" s="133"/>
      <c r="F65" s="133"/>
      <c r="G65" s="133"/>
      <c r="H65" s="133"/>
      <c r="I65" s="133"/>
      <c r="J65" s="133"/>
      <c r="K65" s="133"/>
      <c r="L65" s="133"/>
      <c r="M65" s="133"/>
      <c r="N65" s="133"/>
      <c r="O65" s="133"/>
    </row>
    <row r="66" spans="1:15" ht="12.75">
      <c r="A66" s="133"/>
      <c r="B66" s="133"/>
      <c r="C66" s="133"/>
      <c r="D66" s="133"/>
      <c r="E66" s="133"/>
      <c r="F66" s="133"/>
      <c r="G66" s="133"/>
      <c r="H66" s="133"/>
      <c r="I66" s="133"/>
      <c r="J66" s="133"/>
      <c r="K66" s="133"/>
      <c r="L66" s="133"/>
      <c r="M66" s="133"/>
      <c r="N66" s="133"/>
      <c r="O66" s="133"/>
    </row>
    <row r="67" spans="1:15" ht="12.75">
      <c r="A67" s="133"/>
      <c r="B67" s="133"/>
      <c r="C67" s="133"/>
      <c r="D67" s="133"/>
      <c r="E67" s="133"/>
      <c r="F67" s="133"/>
      <c r="G67" s="133"/>
      <c r="H67" s="133"/>
      <c r="I67" s="133"/>
      <c r="J67" s="133"/>
      <c r="K67" s="133"/>
      <c r="L67" s="133"/>
      <c r="M67" s="133"/>
      <c r="N67" s="133"/>
      <c r="O67" s="133"/>
    </row>
    <row r="68" spans="1:15" ht="12.75">
      <c r="A68" s="133"/>
      <c r="B68" s="133"/>
      <c r="C68" s="133"/>
      <c r="D68" s="133"/>
      <c r="E68" s="133"/>
      <c r="F68" s="133"/>
      <c r="G68" s="133"/>
      <c r="H68" s="133"/>
      <c r="I68" s="133"/>
      <c r="J68" s="133"/>
      <c r="K68" s="133"/>
      <c r="L68" s="133"/>
      <c r="M68" s="133"/>
      <c r="N68" s="133"/>
      <c r="O68" s="133"/>
    </row>
    <row r="69" spans="1:15" ht="12.75">
      <c r="A69" s="133"/>
      <c r="B69" s="133"/>
      <c r="C69" s="133"/>
      <c r="D69" s="133"/>
      <c r="E69" s="133"/>
      <c r="F69" s="133"/>
      <c r="G69" s="133"/>
      <c r="H69" s="133"/>
      <c r="I69" s="133"/>
      <c r="J69" s="133"/>
      <c r="K69" s="133"/>
      <c r="L69" s="133"/>
      <c r="M69" s="133"/>
      <c r="N69" s="133"/>
      <c r="O69" s="133"/>
    </row>
  </sheetData>
  <sheetProtection password="D023" sheet="1" objects="1" scenarios="1"/>
  <printOptions/>
  <pageMargins left="0.75" right="0.75" top="1" bottom="1" header="0.5" footer="0.5"/>
  <pageSetup fitToHeight="1" fitToWidth="1" horizontalDpi="600" verticalDpi="600" orientation="portrait" scale="89" r:id="rId1"/>
  <headerFooter alignWithMargins="0">
    <oddHeader>&amp;CTotal Cost of Application Ownership (TCA) Calculator</oddHeader>
    <oddFooter>&amp;LThe Tolly Group TCA Calculator&amp;R© The Tolly Group, 1999</oddFooter>
  </headerFooter>
</worksheet>
</file>

<file path=xl/worksheets/sheet57.xml><?xml version="1.0" encoding="utf-8"?>
<worksheet xmlns="http://schemas.openxmlformats.org/spreadsheetml/2006/main" xmlns:r="http://schemas.openxmlformats.org/officeDocument/2006/relationships">
  <sheetPr codeName="Sheet31">
    <pageSetUpPr fitToPage="1"/>
  </sheetPr>
  <dimension ref="A1:O131"/>
  <sheetViews>
    <sheetView workbookViewId="0" topLeftCell="A92">
      <selection activeCell="B4" sqref="B4"/>
    </sheetView>
  </sheetViews>
  <sheetFormatPr defaultColWidth="9.140625" defaultRowHeight="12.75"/>
  <cols>
    <col min="1" max="1" width="13.7109375" style="0" customWidth="1"/>
    <col min="2" max="2" width="12.8515625" style="0" customWidth="1"/>
    <col min="3" max="3" width="10.140625" style="0" bestFit="1" customWidth="1"/>
    <col min="4" max="4" width="13.7109375" style="0" bestFit="1" customWidth="1"/>
    <col min="5" max="5" width="11.140625" style="0" bestFit="1" customWidth="1"/>
    <col min="6" max="6" width="12.7109375" style="0" bestFit="1" customWidth="1"/>
    <col min="8" max="8" width="17.00390625" style="0" customWidth="1"/>
    <col min="9" max="9" width="14.28125" style="0" bestFit="1" customWidth="1"/>
    <col min="10" max="10" width="12.7109375" style="0" bestFit="1" customWidth="1"/>
    <col min="11" max="11" width="14.00390625" style="0" customWidth="1"/>
  </cols>
  <sheetData>
    <row r="1" spans="1:10" ht="12.75">
      <c r="A1" s="12" t="s">
        <v>305</v>
      </c>
      <c r="F1" s="12" t="s">
        <v>312</v>
      </c>
      <c r="H1" t="s">
        <v>314</v>
      </c>
      <c r="I1" t="s">
        <v>324</v>
      </c>
      <c r="J1" t="s">
        <v>322</v>
      </c>
    </row>
    <row r="2" spans="1:11" ht="12.75">
      <c r="A2" s="12" t="s">
        <v>310</v>
      </c>
      <c r="B2" s="157">
        <f>'Detailed Data 2'!H4</f>
        <v>500</v>
      </c>
      <c r="D2" s="12" t="s">
        <v>154</v>
      </c>
      <c r="F2" s="159">
        <f>'Front End'!G3/100</f>
        <v>25</v>
      </c>
      <c r="G2" t="s">
        <v>163</v>
      </c>
      <c r="H2" s="131" t="s">
        <v>315</v>
      </c>
      <c r="I2" s="10">
        <f>150*K7</f>
        <v>412500</v>
      </c>
      <c r="J2" s="10">
        <f>'Fat WAN Infrastructure'!G44</f>
        <v>907022</v>
      </c>
      <c r="K2" s="10">
        <f>SUM(I2:J2)</f>
        <v>1319522</v>
      </c>
    </row>
    <row r="3" spans="2:11" ht="12.75">
      <c r="B3" s="47">
        <f>'Detailed Data 2'!H5*'Detailed Data 2'!H10</f>
        <v>62500</v>
      </c>
      <c r="D3" s="10">
        <f>'FatClient Base Data'!F25*'FatClient Base Data'!F22+'FatClient Base Data'!F25</f>
        <v>53200</v>
      </c>
      <c r="F3" s="159">
        <f>'Front End'!G3/65</f>
        <v>38.46153846153846</v>
      </c>
      <c r="G3" t="s">
        <v>7</v>
      </c>
      <c r="H3" s="10" t="s">
        <v>316</v>
      </c>
      <c r="I3" s="10">
        <f>150*K7</f>
        <v>412500</v>
      </c>
      <c r="J3" s="10">
        <f>'Thin WAN Infrastructure'!G44</f>
        <v>5978900</v>
      </c>
      <c r="K3" s="10">
        <f>SUM(I3:J3)</f>
        <v>6391400</v>
      </c>
    </row>
    <row r="4" spans="1:11" ht="12.75">
      <c r="A4" s="12" t="s">
        <v>311</v>
      </c>
      <c r="B4" s="47">
        <f>'Detailed Data 2'!H7</f>
        <v>4</v>
      </c>
      <c r="D4" s="10">
        <f>'FatClient Base Data'!F26*'FatClient Base Data'!F22+'FatClient Base Data'!F26</f>
        <v>106400</v>
      </c>
      <c r="F4" s="10"/>
      <c r="H4" s="10" t="s">
        <v>7</v>
      </c>
      <c r="I4" s="10">
        <f>150*K7</f>
        <v>412500</v>
      </c>
      <c r="J4" s="10">
        <f>'Citrix WAN Infrastructure'!G44</f>
        <v>1136027</v>
      </c>
      <c r="K4" s="10">
        <f>SUM(I4:J4)</f>
        <v>1548527</v>
      </c>
    </row>
    <row r="5" spans="2:11" ht="12.75">
      <c r="B5" s="158">
        <f>'Detailed Data 2'!H8*'Detailed Data 2'!H11</f>
        <v>4000</v>
      </c>
      <c r="D5" s="10">
        <f>'FatClient Base Data'!F27*'FatClient Base Data'!F22+'FatClient Base Data'!F27</f>
        <v>199500</v>
      </c>
      <c r="F5" s="10"/>
      <c r="H5" s="10"/>
      <c r="J5" s="10"/>
      <c r="K5" s="10"/>
    </row>
    <row r="6" ht="12.75">
      <c r="B6" s="47"/>
    </row>
    <row r="7" spans="8:11" ht="12.75">
      <c r="H7" t="s">
        <v>527</v>
      </c>
      <c r="I7">
        <f>SUM(Reports!C5:C12,Reports!C16,Reports!C19,Reports!C20,Reports!C21,Reports!C22)</f>
        <v>22126500.755690116</v>
      </c>
      <c r="K7" s="166">
        <f>SUM('Front End'!G3*0.1)+'Front End'!G3</f>
        <v>2750</v>
      </c>
    </row>
    <row r="8" spans="1:11" ht="12.75">
      <c r="A8" s="12" t="s">
        <v>155</v>
      </c>
      <c r="D8" s="45" t="s">
        <v>168</v>
      </c>
      <c r="H8" s="10" t="s">
        <v>163</v>
      </c>
      <c r="I8">
        <f>SUM(Reports!D5:D12,Reports!D16,Reports!D19,Reports!D20,Reports!D21,Reports!D22)</f>
        <v>20614569.8455</v>
      </c>
      <c r="K8" s="10"/>
    </row>
    <row r="9" spans="1:11" ht="12.75">
      <c r="A9" s="12" t="s">
        <v>162</v>
      </c>
      <c r="B9" s="10">
        <f>SUM('Fat-Hardware Procurement'!F6:F15)</f>
        <v>13960</v>
      </c>
      <c r="D9" s="43"/>
      <c r="E9" s="10">
        <f>AVERAGE('FatClient Base Data'!F11:F13,'FatClient Base Data'!F17,'FatClient Base Data'!F20)</f>
        <v>57100</v>
      </c>
      <c r="H9" s="10" t="s">
        <v>7</v>
      </c>
      <c r="I9">
        <f>SUM(Reports!E5:E12,Reports!E16,Reports!E19,Reports!E20,Reports!E21,Reports!E22)</f>
        <v>14111692.498183656</v>
      </c>
      <c r="K9" s="10"/>
    </row>
    <row r="10" spans="1:8" ht="13.5" thickBot="1">
      <c r="A10" s="12"/>
      <c r="B10" s="54">
        <f>'Front End'!G3/100</f>
        <v>25</v>
      </c>
      <c r="D10" s="42"/>
      <c r="E10" s="46">
        <f>'FatClient Base Data'!F22</f>
        <v>0.33</v>
      </c>
      <c r="H10" s="40"/>
    </row>
    <row r="11" spans="1:8" ht="13.5" thickTop="1">
      <c r="A11" s="12"/>
      <c r="B11" s="10">
        <f>PRODUCT(B9:B10)</f>
        <v>349000</v>
      </c>
      <c r="C11" s="10">
        <f>B11/'Front End'!G3</f>
        <v>139.6</v>
      </c>
      <c r="D11" s="40"/>
      <c r="E11" s="10">
        <f>E9*E10+E9</f>
        <v>75943</v>
      </c>
      <c r="H11" s="10"/>
    </row>
    <row r="12" spans="1:4" ht="12.75">
      <c r="A12" s="12"/>
      <c r="D12" s="40"/>
    </row>
    <row r="13" spans="1:11" ht="12.75">
      <c r="A13" s="12" t="s">
        <v>163</v>
      </c>
      <c r="B13" s="10">
        <f>SUM('Thin Hardware Procurement'!F6:F15)</f>
        <v>13960</v>
      </c>
      <c r="D13" s="12" t="s">
        <v>167</v>
      </c>
      <c r="G13" t="s">
        <v>529</v>
      </c>
      <c r="I13" s="237">
        <f>'Fat WAN Infrastructure'!G44-I17</f>
        <v>360000</v>
      </c>
      <c r="J13" s="47">
        <f>'Thin WAN Infrastructure'!G44-J17</f>
        <v>3006000</v>
      </c>
      <c r="K13" s="47">
        <f>'Citrix WAN Infrastructure'!G44-K17</f>
        <v>511200</v>
      </c>
    </row>
    <row r="14" spans="1:11" ht="12.75">
      <c r="A14" s="12"/>
      <c r="B14" s="54">
        <f>'Front End'!G3/100</f>
        <v>25</v>
      </c>
      <c r="E14" s="10">
        <f>AVERAGE('FatClient Base Data'!F13:F14)</f>
        <v>72500</v>
      </c>
      <c r="I14" s="238">
        <f>I13/'Front End'!G3</f>
        <v>144</v>
      </c>
      <c r="J14" s="54">
        <f>J13/'Front End'!G3</f>
        <v>1202.4</v>
      </c>
      <c r="K14" s="54">
        <f>K13/'Front End'!G3</f>
        <v>204.48</v>
      </c>
    </row>
    <row r="15" spans="1:9" ht="13.5" thickBot="1">
      <c r="A15" s="12"/>
      <c r="B15" s="10">
        <f>PRODUCT(B13:B14)</f>
        <v>349000</v>
      </c>
      <c r="C15" s="10">
        <f>B15/'Front End'!G3</f>
        <v>139.6</v>
      </c>
      <c r="D15" s="41"/>
      <c r="E15" s="67">
        <f>'FatClient Base Data'!F22</f>
        <v>0.33</v>
      </c>
      <c r="I15" s="236"/>
    </row>
    <row r="16" spans="1:9" ht="13.5" thickTop="1">
      <c r="A16" s="12"/>
      <c r="E16" s="10">
        <f>E14*E15+E14</f>
        <v>96425</v>
      </c>
      <c r="I16" s="236"/>
    </row>
    <row r="17" spans="1:11" ht="12.75">
      <c r="A17" s="12" t="s">
        <v>7</v>
      </c>
      <c r="B17" s="10">
        <f>SUM('Citrix Hardware Procurement'!F6:F15)</f>
        <v>13960</v>
      </c>
      <c r="I17" s="236">
        <f>SUM('Fat WAN Infrastructure'!G37,'Fat WAN Infrastructure'!G31,'Fat WAN Infrastructure'!G22,'Fat WAN Infrastructure'!G16)</f>
        <v>547022</v>
      </c>
      <c r="J17">
        <f>SUM('Thin WAN Infrastructure'!G37,'Thin WAN Infrastructure'!G31,'Thin WAN Infrastructure'!G22,'Thin WAN Infrastructure'!G16)</f>
        <v>2972900</v>
      </c>
      <c r="K17">
        <f>SUM('Citrix WAN Infrastructure'!G16,'Citrix WAN Infrastructure'!G22,'Citrix WAN Infrastructure'!G31,'Citrix WAN Infrastructure'!G37)</f>
        <v>624827</v>
      </c>
    </row>
    <row r="18" spans="1:11" ht="12.75">
      <c r="A18" s="12"/>
      <c r="B18" s="54">
        <f>'Front End'!G3/100</f>
        <v>25</v>
      </c>
      <c r="D18" s="12" t="s">
        <v>170</v>
      </c>
      <c r="I18" s="238">
        <f>I17/'Front End'!G3</f>
        <v>218.8088</v>
      </c>
      <c r="J18" s="54">
        <f>J17/'Front End'!G3</f>
        <v>1189.16</v>
      </c>
      <c r="K18" s="54">
        <f>K17/'Front End'!G3</f>
        <v>249.9308</v>
      </c>
    </row>
    <row r="19" spans="1:5" ht="12.75">
      <c r="A19" s="12"/>
      <c r="B19" s="10">
        <f>PRODUCT(B17:B18)</f>
        <v>349000</v>
      </c>
      <c r="C19" s="10">
        <f>B19/'Front End'!G3</f>
        <v>139.6</v>
      </c>
      <c r="E19" s="10">
        <f>AVERAGE('FatClient Base Data'!F11:F12)</f>
        <v>55000</v>
      </c>
    </row>
    <row r="20" spans="1:5" ht="13.5" thickBot="1">
      <c r="A20" s="12"/>
      <c r="D20" s="41"/>
      <c r="E20" s="46">
        <f>'FatClient Base Data'!F22</f>
        <v>0.33</v>
      </c>
    </row>
    <row r="21" spans="1:5" ht="13.5" thickTop="1">
      <c r="A21" s="12"/>
      <c r="B21" s="10"/>
      <c r="E21" s="10">
        <f>E19*E20+E19</f>
        <v>73150</v>
      </c>
    </row>
    <row r="22" ht="12.75">
      <c r="B22" s="54"/>
    </row>
    <row r="23" spans="2:3" ht="12.75">
      <c r="B23" s="10"/>
      <c r="C23" s="10"/>
    </row>
    <row r="25" spans="1:4" ht="12.75">
      <c r="A25" s="12" t="s">
        <v>156</v>
      </c>
      <c r="D25" s="12" t="s">
        <v>129</v>
      </c>
    </row>
    <row r="26" spans="1:4" ht="12.75">
      <c r="A26" s="47">
        <v>1</v>
      </c>
      <c r="B26" s="47">
        <f>IF(A26=1,35)</f>
        <v>35</v>
      </c>
      <c r="D26" t="s">
        <v>199</v>
      </c>
    </row>
    <row r="27" spans="2:4" ht="12.75">
      <c r="B27" s="47" t="b">
        <f>IF(A26=2,37.5)</f>
        <v>0</v>
      </c>
      <c r="D27" t="s">
        <v>200</v>
      </c>
    </row>
    <row r="28" ht="13.5" thickBot="1">
      <c r="B28" s="48" t="b">
        <f>IF(A26=3,40)</f>
        <v>0</v>
      </c>
    </row>
    <row r="29" ht="13.5" thickTop="1">
      <c r="B29">
        <f>SUM(B26:B28)</f>
        <v>35</v>
      </c>
    </row>
    <row r="32" spans="1:6" ht="12.75">
      <c r="A32" s="11" t="s">
        <v>8</v>
      </c>
      <c r="B32" s="12" t="s">
        <v>9</v>
      </c>
      <c r="F32" s="12" t="s">
        <v>10</v>
      </c>
    </row>
    <row r="33" spans="1:6" ht="12.75">
      <c r="A33" t="s">
        <v>187</v>
      </c>
      <c r="B33" t="s">
        <v>11</v>
      </c>
      <c r="F33" t="s">
        <v>171</v>
      </c>
    </row>
    <row r="34" spans="1:6" ht="12.75">
      <c r="A34" t="s">
        <v>12</v>
      </c>
      <c r="B34" t="s">
        <v>13</v>
      </c>
      <c r="F34" t="s">
        <v>17</v>
      </c>
    </row>
    <row r="35" spans="2:6" ht="12.75">
      <c r="B35" t="s">
        <v>15</v>
      </c>
      <c r="F35" t="s">
        <v>20</v>
      </c>
    </row>
    <row r="36" spans="1:2" ht="12.75">
      <c r="A36" s="12" t="s">
        <v>6</v>
      </c>
      <c r="B36" t="s">
        <v>16</v>
      </c>
    </row>
    <row r="37" spans="1:2" ht="12.75">
      <c r="A37" t="s">
        <v>18</v>
      </c>
      <c r="B37" t="s">
        <v>19</v>
      </c>
    </row>
    <row r="38" spans="1:2" ht="12.75">
      <c r="A38" t="s">
        <v>21</v>
      </c>
      <c r="B38" t="s">
        <v>22</v>
      </c>
    </row>
    <row r="39" spans="1:2" ht="12.75">
      <c r="A39" t="s">
        <v>298</v>
      </c>
      <c r="B39" t="s">
        <v>23</v>
      </c>
    </row>
    <row r="40" spans="1:2" ht="12.75">
      <c r="A40" s="12" t="s">
        <v>24</v>
      </c>
      <c r="B40" t="s">
        <v>25</v>
      </c>
    </row>
    <row r="41" ht="12.75">
      <c r="A41">
        <v>35</v>
      </c>
    </row>
    <row r="42" ht="12.75">
      <c r="A42">
        <v>37.5</v>
      </c>
    </row>
    <row r="43" ht="12.75">
      <c r="A43">
        <v>40</v>
      </c>
    </row>
    <row r="45" spans="1:5" ht="12.75">
      <c r="A45" s="12" t="s">
        <v>158</v>
      </c>
      <c r="E45" s="12"/>
    </row>
    <row r="46" spans="1:5" ht="12.75">
      <c r="A46" t="s">
        <v>159</v>
      </c>
      <c r="E46" s="74"/>
    </row>
    <row r="47" ht="12.75">
      <c r="A47" t="s">
        <v>302</v>
      </c>
    </row>
    <row r="48" ht="12.75">
      <c r="A48" t="s">
        <v>320</v>
      </c>
    </row>
    <row r="49" ht="12.75">
      <c r="A49" t="s">
        <v>321</v>
      </c>
    </row>
    <row r="60" ht="15">
      <c r="A60" s="107" t="s">
        <v>202</v>
      </c>
    </row>
    <row r="61" spans="1:8" ht="15.75">
      <c r="A61" t="s">
        <v>203</v>
      </c>
      <c r="D61" t="s">
        <v>204</v>
      </c>
      <c r="G61" s="106" t="s">
        <v>207</v>
      </c>
      <c r="H61" s="11">
        <f>'Technical Support'!F18*0.7</f>
        <v>1963552.4999999998</v>
      </c>
    </row>
    <row r="62" spans="1:8" ht="15.75">
      <c r="A62" t="s">
        <v>205</v>
      </c>
      <c r="D62" t="s">
        <v>206</v>
      </c>
      <c r="G62" s="106" t="s">
        <v>208</v>
      </c>
      <c r="H62" s="11">
        <f>'Technical Support'!F18*0.3</f>
        <v>841522.5</v>
      </c>
    </row>
    <row r="64" spans="5:12" ht="12.75">
      <c r="E64" t="s">
        <v>213</v>
      </c>
      <c r="G64" t="s">
        <v>214</v>
      </c>
      <c r="J64" t="s">
        <v>216</v>
      </c>
      <c r="L64" t="s">
        <v>217</v>
      </c>
    </row>
    <row r="65" spans="1:13" ht="12.75">
      <c r="A65" t="s">
        <v>209</v>
      </c>
      <c r="B65" s="108">
        <f>'Front End'!G3</f>
        <v>2500</v>
      </c>
      <c r="C65" t="s">
        <v>210</v>
      </c>
      <c r="E65">
        <f>B65-(E66+E67)</f>
        <v>1750</v>
      </c>
      <c r="G65" s="109">
        <v>1</v>
      </c>
      <c r="H65">
        <f>E65*G65</f>
        <v>1750</v>
      </c>
      <c r="J65" s="10">
        <f>Cs/H68</f>
        <v>994.2037974683543</v>
      </c>
      <c r="K65" s="108" t="s">
        <v>218</v>
      </c>
      <c r="L65" s="109">
        <v>1</v>
      </c>
      <c r="M65" s="10">
        <f>$J$65*L65</f>
        <v>994.2037974683543</v>
      </c>
    </row>
    <row r="66" spans="3:13" ht="12.75">
      <c r="C66" t="s">
        <v>212</v>
      </c>
      <c r="E66">
        <f>B65*'Front End'!G19</f>
        <v>500</v>
      </c>
      <c r="G66" s="109">
        <v>0.4</v>
      </c>
      <c r="H66">
        <f>E66*G66</f>
        <v>200</v>
      </c>
      <c r="K66" s="108" t="s">
        <v>219</v>
      </c>
      <c r="L66" s="109">
        <v>0.4</v>
      </c>
      <c r="M66" s="10">
        <f>$J$65*L66</f>
        <v>397.68151898734175</v>
      </c>
    </row>
    <row r="67" spans="3:13" ht="12.75">
      <c r="C67" t="s">
        <v>211</v>
      </c>
      <c r="E67">
        <f>'Front End'!G21*'Calculation Sheet'!B65</f>
        <v>250</v>
      </c>
      <c r="G67" s="109">
        <v>0.1</v>
      </c>
      <c r="H67" s="110">
        <f>E67*G67</f>
        <v>25</v>
      </c>
      <c r="K67" s="108" t="s">
        <v>220</v>
      </c>
      <c r="L67" s="109">
        <v>0.1</v>
      </c>
      <c r="M67" s="10">
        <f>$J$65*L67</f>
        <v>99.42037974683544</v>
      </c>
    </row>
    <row r="68" spans="7:8" ht="12.75">
      <c r="G68" s="100" t="s">
        <v>215</v>
      </c>
      <c r="H68">
        <f>SUM(H65:H67)</f>
        <v>1975</v>
      </c>
    </row>
    <row r="70" ht="12.75">
      <c r="A70" s="12" t="s">
        <v>221</v>
      </c>
    </row>
    <row r="71" spans="1:2" ht="12.75">
      <c r="A71" s="108" t="s">
        <v>218</v>
      </c>
      <c r="B71" s="10">
        <f>B65*M65+Cu</f>
        <v>3327031.993670886</v>
      </c>
    </row>
    <row r="72" spans="1:2" ht="12.75">
      <c r="A72" s="108" t="s">
        <v>219</v>
      </c>
      <c r="B72" s="10">
        <f>B65*M66+Cu</f>
        <v>1835726.2974683545</v>
      </c>
    </row>
    <row r="73" spans="1:6" ht="12.75">
      <c r="A73" s="108" t="s">
        <v>220</v>
      </c>
      <c r="B73" s="10">
        <f>B65*M67+Cu</f>
        <v>1090073.4493670885</v>
      </c>
      <c r="F73" s="112"/>
    </row>
    <row r="74" spans="4:9" ht="13.5" thickBot="1">
      <c r="D74" s="112"/>
      <c r="E74" s="112"/>
      <c r="F74" s="115" t="s">
        <v>230</v>
      </c>
      <c r="G74" s="112"/>
      <c r="H74" s="112"/>
      <c r="I74" s="112"/>
    </row>
    <row r="75" spans="4:10" ht="12.75">
      <c r="D75" s="167"/>
      <c r="E75" s="168"/>
      <c r="F75" s="113" t="s">
        <v>4</v>
      </c>
      <c r="G75" s="168">
        <v>2</v>
      </c>
      <c r="H75" s="168" t="s">
        <v>229</v>
      </c>
      <c r="I75" s="169"/>
      <c r="J75" t="s">
        <v>12</v>
      </c>
    </row>
    <row r="76" spans="4:10" ht="12.75">
      <c r="D76" s="170"/>
      <c r="E76" s="75"/>
      <c r="F76" s="114" t="s">
        <v>5</v>
      </c>
      <c r="G76" s="75">
        <v>1</v>
      </c>
      <c r="H76" s="75" t="s">
        <v>229</v>
      </c>
      <c r="I76" s="171"/>
      <c r="J76" t="s">
        <v>334</v>
      </c>
    </row>
    <row r="77" spans="4:10" ht="12.75">
      <c r="D77" s="170"/>
      <c r="E77" s="75"/>
      <c r="F77" s="114" t="s">
        <v>197</v>
      </c>
      <c r="G77" s="75">
        <v>1</v>
      </c>
      <c r="H77" s="75" t="s">
        <v>229</v>
      </c>
      <c r="I77" s="171"/>
      <c r="J77" t="s">
        <v>334</v>
      </c>
    </row>
    <row r="78" spans="4:9" ht="13.5" thickBot="1">
      <c r="D78" s="172"/>
      <c r="E78" s="173"/>
      <c r="F78" s="174" t="s">
        <v>198</v>
      </c>
      <c r="G78" s="173">
        <v>2</v>
      </c>
      <c r="H78" s="173" t="s">
        <v>300</v>
      </c>
      <c r="I78" s="175"/>
    </row>
    <row r="79" spans="1:7" ht="12.75">
      <c r="A79" s="12" t="s">
        <v>223</v>
      </c>
      <c r="G79" s="339"/>
    </row>
    <row r="80" spans="1:2" ht="13.5" thickBot="1">
      <c r="A80">
        <v>2</v>
      </c>
      <c r="B80" t="s">
        <v>222</v>
      </c>
    </row>
    <row r="81" spans="2:10" ht="13.5" thickBot="1">
      <c r="B81" t="s">
        <v>224</v>
      </c>
      <c r="D81" s="121"/>
      <c r="E81" s="122"/>
      <c r="F81" s="123" t="s">
        <v>184</v>
      </c>
      <c r="G81" s="124">
        <v>1</v>
      </c>
      <c r="H81" s="124" t="s">
        <v>231</v>
      </c>
      <c r="I81" s="124"/>
      <c r="J81" s="125"/>
    </row>
    <row r="82" spans="5:7" ht="12.75">
      <c r="E82" t="s">
        <v>331</v>
      </c>
      <c r="G82" s="166">
        <f>'Front End'!G7+'Front End'!G33</f>
        <v>1050</v>
      </c>
    </row>
    <row r="83" spans="5:7" ht="12.75">
      <c r="E83" t="s">
        <v>332</v>
      </c>
      <c r="G83" s="109">
        <f>G82/'Front End'!G3</f>
        <v>0.42</v>
      </c>
    </row>
    <row r="85" spans="1:8" ht="12.75">
      <c r="A85" s="100" t="s">
        <v>236</v>
      </c>
      <c r="B85" s="10">
        <f>'FatClient Base Data'!G48*B65</f>
        <v>879125.4166666667</v>
      </c>
      <c r="C85" s="10">
        <f>EightD/11</f>
        <v>79920.49242424243</v>
      </c>
      <c r="H85" s="109"/>
    </row>
    <row r="86" spans="1:2" ht="12.75">
      <c r="A86" t="s">
        <v>333</v>
      </c>
      <c r="B86" s="10">
        <f>EightD*(1-G83)</f>
        <v>509892.74166666676</v>
      </c>
    </row>
    <row r="87" spans="2:6" ht="12.75">
      <c r="B87" s="130" t="s">
        <v>238</v>
      </c>
      <c r="C87" s="131" t="s">
        <v>242</v>
      </c>
      <c r="D87" s="132">
        <f>SUM(Reports!C13,Reports!C23)</f>
        <v>27229675.755690116</v>
      </c>
      <c r="E87" s="54">
        <f>FTc/'Front End'!G3</f>
        <v>10891.870302276047</v>
      </c>
      <c r="F87" t="s">
        <v>247</v>
      </c>
    </row>
    <row r="88" spans="2:5" ht="12.75">
      <c r="B88" s="106" t="s">
        <v>237</v>
      </c>
      <c r="C88" s="12" t="s">
        <v>245</v>
      </c>
      <c r="D88" s="11">
        <f>SUM(Reports!E23,Reports!E13)</f>
        <v>17571867.498183656</v>
      </c>
      <c r="E88" s="54">
        <f>CXr/'Front End'!G3</f>
        <v>7028.746999273462</v>
      </c>
    </row>
    <row r="89" spans="2:5" ht="12.75">
      <c r="B89" s="100" t="s">
        <v>239</v>
      </c>
      <c r="C89" t="s">
        <v>246</v>
      </c>
      <c r="D89" s="10">
        <f>SUM('Citrix Client TOTALS'!F22+AdjustedED)</f>
        <v>18374096.39369648</v>
      </c>
      <c r="E89" s="54">
        <f>CXl/'Front End'!G3</f>
        <v>7349.638557478592</v>
      </c>
    </row>
    <row r="90" spans="1:5" ht="12.75">
      <c r="A90" s="12"/>
      <c r="B90" s="106" t="s">
        <v>240</v>
      </c>
      <c r="C90" s="12" t="s">
        <v>243</v>
      </c>
      <c r="D90" s="11">
        <f>SUM(Reports!D23,Reports!D13)</f>
        <v>24896244.8455</v>
      </c>
      <c r="E90" s="54">
        <f>TCr/'Front End'!G3</f>
        <v>9958.4979382</v>
      </c>
    </row>
    <row r="91" spans="2:5" ht="12.75">
      <c r="B91" s="100" t="s">
        <v>241</v>
      </c>
      <c r="C91" t="s">
        <v>244</v>
      </c>
      <c r="D91" s="10">
        <f>SUM('Thin Client TOTALS'!F22+AdjustedED)</f>
        <v>24993637.587211944</v>
      </c>
      <c r="E91" s="54">
        <f>TCl/'Front End'!G3</f>
        <v>9997.455034884777</v>
      </c>
    </row>
    <row r="92" spans="1:15" ht="12.75">
      <c r="A92" s="133"/>
      <c r="B92" s="133"/>
      <c r="C92" s="133"/>
      <c r="D92" s="133"/>
      <c r="E92" s="133"/>
      <c r="F92" s="133"/>
      <c r="G92" s="133"/>
      <c r="H92" s="133"/>
      <c r="I92" s="133"/>
      <c r="J92" s="133"/>
      <c r="K92" s="133"/>
      <c r="L92" s="133"/>
      <c r="M92" s="133"/>
      <c r="N92" s="133"/>
      <c r="O92" s="133"/>
    </row>
    <row r="93" spans="1:15" ht="12.75">
      <c r="A93" s="133"/>
      <c r="B93" s="133"/>
      <c r="C93" s="133"/>
      <c r="D93" s="133"/>
      <c r="E93" s="133"/>
      <c r="F93" s="133"/>
      <c r="G93" s="133"/>
      <c r="H93" s="133"/>
      <c r="I93" s="133"/>
      <c r="J93" s="133"/>
      <c r="K93" s="133"/>
      <c r="L93" s="133"/>
      <c r="M93" s="133"/>
      <c r="N93" s="133"/>
      <c r="O93" s="133"/>
    </row>
    <row r="94" spans="1:15" ht="12.75">
      <c r="A94" s="133"/>
      <c r="B94" s="133"/>
      <c r="C94" s="133"/>
      <c r="D94" s="133"/>
      <c r="E94" s="133"/>
      <c r="F94" s="133"/>
      <c r="G94" s="133"/>
      <c r="H94" s="133"/>
      <c r="I94" s="133"/>
      <c r="J94" s="133"/>
      <c r="K94" s="133"/>
      <c r="L94" s="133"/>
      <c r="M94" s="133"/>
      <c r="N94" s="133"/>
      <c r="O94" s="133"/>
    </row>
    <row r="95" spans="1:15" ht="60">
      <c r="A95" s="134" t="s">
        <v>249</v>
      </c>
      <c r="B95" s="133"/>
      <c r="C95" s="133"/>
      <c r="D95" s="133"/>
      <c r="E95" s="133"/>
      <c r="F95" s="133"/>
      <c r="G95" s="133"/>
      <c r="H95" s="133"/>
      <c r="I95" s="133"/>
      <c r="J95" s="133"/>
      <c r="K95" s="133"/>
      <c r="L95" s="133"/>
      <c r="M95" s="133"/>
      <c r="N95" s="133"/>
      <c r="O95" s="133"/>
    </row>
    <row r="96" spans="1:15" ht="12.75">
      <c r="A96" s="133"/>
      <c r="B96" s="133"/>
      <c r="C96" s="133"/>
      <c r="D96" s="133"/>
      <c r="E96" s="133"/>
      <c r="F96" s="133"/>
      <c r="G96" s="133"/>
      <c r="H96" s="133"/>
      <c r="I96" s="133"/>
      <c r="J96" s="133"/>
      <c r="K96" s="133"/>
      <c r="L96" s="133"/>
      <c r="M96" s="133"/>
      <c r="N96" s="133"/>
      <c r="O96" s="133"/>
    </row>
    <row r="97" spans="1:15" ht="12.75">
      <c r="A97" s="133"/>
      <c r="B97" s="133"/>
      <c r="C97" s="133"/>
      <c r="D97" s="133"/>
      <c r="E97" s="133"/>
      <c r="F97" s="133"/>
      <c r="G97" s="133"/>
      <c r="H97" s="133"/>
      <c r="I97" s="133"/>
      <c r="J97" s="133"/>
      <c r="K97" s="133"/>
      <c r="L97" s="133"/>
      <c r="M97" s="133"/>
      <c r="N97" s="133"/>
      <c r="O97" s="133"/>
    </row>
    <row r="98" spans="1:15" ht="12.75">
      <c r="A98" s="133"/>
      <c r="B98" s="133"/>
      <c r="C98" s="133"/>
      <c r="D98" s="133"/>
      <c r="E98" s="133"/>
      <c r="F98" s="133"/>
      <c r="G98" s="133"/>
      <c r="H98" s="133"/>
      <c r="I98" s="133"/>
      <c r="J98" s="133"/>
      <c r="K98" s="133"/>
      <c r="L98" s="133"/>
      <c r="M98" s="133"/>
      <c r="N98" s="133"/>
      <c r="O98" s="133"/>
    </row>
    <row r="99" spans="1:15" ht="12.75">
      <c r="A99" s="133"/>
      <c r="B99" s="133"/>
      <c r="C99" s="133"/>
      <c r="D99" s="133"/>
      <c r="E99" s="133"/>
      <c r="F99" s="133"/>
      <c r="G99" s="133"/>
      <c r="H99" s="133"/>
      <c r="I99" s="133"/>
      <c r="J99" s="133"/>
      <c r="K99" s="133"/>
      <c r="L99" s="133"/>
      <c r="M99" s="133"/>
      <c r="N99" s="133"/>
      <c r="O99" s="133"/>
    </row>
    <row r="100" spans="1:15" ht="12.75">
      <c r="A100" s="133"/>
      <c r="B100" s="133"/>
      <c r="C100" s="133"/>
      <c r="D100" s="133"/>
      <c r="E100" s="133"/>
      <c r="F100" s="133"/>
      <c r="G100" s="133"/>
      <c r="H100" s="133"/>
      <c r="I100" s="133"/>
      <c r="J100" s="133"/>
      <c r="K100" s="133"/>
      <c r="L100" s="133"/>
      <c r="M100" s="133"/>
      <c r="N100" s="133"/>
      <c r="O100" s="133"/>
    </row>
    <row r="101" spans="1:15" ht="12.75">
      <c r="A101" s="133"/>
      <c r="B101" s="133"/>
      <c r="C101" s="133"/>
      <c r="D101" s="133"/>
      <c r="E101" s="133"/>
      <c r="F101" s="133"/>
      <c r="G101" s="133"/>
      <c r="H101" s="133"/>
      <c r="I101" s="133"/>
      <c r="J101" s="133"/>
      <c r="K101" s="133"/>
      <c r="L101" s="133"/>
      <c r="M101" s="133"/>
      <c r="N101" s="133"/>
      <c r="O101" s="133"/>
    </row>
    <row r="102" spans="1:15" ht="12.75">
      <c r="A102" s="133"/>
      <c r="B102" s="133"/>
      <c r="C102" s="133"/>
      <c r="D102" s="133"/>
      <c r="E102" s="133"/>
      <c r="F102" s="133"/>
      <c r="G102" s="133"/>
      <c r="H102" s="133"/>
      <c r="I102" s="133"/>
      <c r="J102" s="133"/>
      <c r="K102" s="133"/>
      <c r="L102" s="133"/>
      <c r="M102" s="133"/>
      <c r="N102" s="133"/>
      <c r="O102" s="133"/>
    </row>
    <row r="103" spans="1:15" ht="60">
      <c r="A103" s="134"/>
      <c r="B103" s="133"/>
      <c r="C103" s="133"/>
      <c r="D103" s="133"/>
      <c r="E103" s="133"/>
      <c r="F103" s="133"/>
      <c r="G103" s="133"/>
      <c r="H103" s="133"/>
      <c r="I103" s="133"/>
      <c r="J103" s="133"/>
      <c r="K103" s="133"/>
      <c r="L103" s="133"/>
      <c r="M103" s="133"/>
      <c r="N103" s="133"/>
      <c r="O103" s="133"/>
    </row>
    <row r="104" spans="1:15" ht="12.75">
      <c r="A104" s="133"/>
      <c r="B104" s="133"/>
      <c r="C104" s="133"/>
      <c r="D104" s="133"/>
      <c r="E104" s="133"/>
      <c r="F104" s="133"/>
      <c r="G104" s="133"/>
      <c r="H104" s="133"/>
      <c r="I104" s="133"/>
      <c r="J104" s="133"/>
      <c r="K104" s="133"/>
      <c r="L104" s="133"/>
      <c r="M104" s="133"/>
      <c r="N104" s="133"/>
      <c r="O104" s="133"/>
    </row>
    <row r="105" spans="1:15" ht="12.75">
      <c r="A105" s="133"/>
      <c r="B105" s="133"/>
      <c r="C105" s="133"/>
      <c r="D105" s="133"/>
      <c r="E105" s="133"/>
      <c r="F105" s="133"/>
      <c r="G105" s="133"/>
      <c r="H105" s="133"/>
      <c r="I105" s="133"/>
      <c r="J105" s="133"/>
      <c r="K105" s="133"/>
      <c r="L105" s="133"/>
      <c r="M105" s="133"/>
      <c r="N105" s="133"/>
      <c r="O105" s="133"/>
    </row>
    <row r="106" spans="1:15" ht="12.75" customHeight="1">
      <c r="A106" s="133"/>
      <c r="B106" s="133"/>
      <c r="C106" s="133"/>
      <c r="D106" s="133"/>
      <c r="E106" s="133"/>
      <c r="F106" s="133"/>
      <c r="G106" s="133"/>
      <c r="H106" s="133"/>
      <c r="I106" s="133"/>
      <c r="J106" s="133"/>
      <c r="K106" s="133"/>
      <c r="L106" s="133"/>
      <c r="M106" s="133"/>
      <c r="N106" s="133"/>
      <c r="O106" s="133"/>
    </row>
    <row r="107" spans="1:15" ht="12.75">
      <c r="A107" s="133"/>
      <c r="B107" s="133"/>
      <c r="C107" s="133"/>
      <c r="D107" s="133"/>
      <c r="E107" s="133"/>
      <c r="F107" s="133"/>
      <c r="G107" s="133"/>
      <c r="H107" s="133"/>
      <c r="I107" s="133"/>
      <c r="J107" s="133"/>
      <c r="K107" s="133"/>
      <c r="L107" s="133"/>
      <c r="M107" s="133"/>
      <c r="N107" s="133"/>
      <c r="O107" s="133"/>
    </row>
    <row r="108" spans="1:15" ht="12.75">
      <c r="A108" s="133"/>
      <c r="B108" s="133"/>
      <c r="C108" s="133"/>
      <c r="D108" s="133"/>
      <c r="E108" s="133"/>
      <c r="F108" s="133"/>
      <c r="G108" s="133"/>
      <c r="H108" s="133"/>
      <c r="I108" s="133"/>
      <c r="J108" s="133"/>
      <c r="K108" s="133"/>
      <c r="L108" s="133"/>
      <c r="M108" s="133"/>
      <c r="N108" s="133"/>
      <c r="O108" s="133"/>
    </row>
    <row r="109" spans="1:15" ht="12.75">
      <c r="A109" s="133"/>
      <c r="B109" s="133"/>
      <c r="C109" s="133"/>
      <c r="D109" s="133"/>
      <c r="E109" s="133"/>
      <c r="F109" s="133"/>
      <c r="G109" s="133"/>
      <c r="H109" s="133"/>
      <c r="I109" s="133"/>
      <c r="J109" s="133"/>
      <c r="K109" s="133"/>
      <c r="L109" s="133"/>
      <c r="M109" s="133"/>
      <c r="N109" s="133"/>
      <c r="O109" s="133"/>
    </row>
    <row r="110" spans="1:15" ht="12.75">
      <c r="A110" s="133"/>
      <c r="B110" s="133"/>
      <c r="C110" s="133"/>
      <c r="D110" s="133"/>
      <c r="E110" s="133"/>
      <c r="F110" s="133"/>
      <c r="G110" s="133"/>
      <c r="H110" s="133"/>
      <c r="I110" s="133"/>
      <c r="J110" s="133"/>
      <c r="K110" s="133"/>
      <c r="L110" s="133"/>
      <c r="M110" s="133"/>
      <c r="N110" s="133"/>
      <c r="O110" s="133"/>
    </row>
    <row r="111" spans="1:15" ht="12.75">
      <c r="A111" s="133"/>
      <c r="B111" s="133"/>
      <c r="C111" s="133"/>
      <c r="D111" s="133"/>
      <c r="E111" s="133"/>
      <c r="F111" s="133"/>
      <c r="G111" s="133"/>
      <c r="H111" s="133"/>
      <c r="I111" s="133"/>
      <c r="J111" s="133"/>
      <c r="K111" s="133"/>
      <c r="L111" s="133"/>
      <c r="M111" s="133"/>
      <c r="N111" s="133"/>
      <c r="O111" s="133"/>
    </row>
    <row r="112" spans="1:15" ht="12.75">
      <c r="A112" s="133"/>
      <c r="B112" s="133"/>
      <c r="C112" s="133"/>
      <c r="D112" s="133"/>
      <c r="E112" s="133"/>
      <c r="F112" s="133"/>
      <c r="G112" s="133"/>
      <c r="H112" s="133"/>
      <c r="I112" s="133"/>
      <c r="J112" s="133"/>
      <c r="K112" s="133"/>
      <c r="L112" s="133"/>
      <c r="M112" s="133"/>
      <c r="N112" s="133"/>
      <c r="O112" s="133"/>
    </row>
    <row r="113" spans="1:15" ht="12.75">
      <c r="A113" s="133"/>
      <c r="B113" s="133"/>
      <c r="C113" s="133"/>
      <c r="D113" s="133"/>
      <c r="E113" s="133"/>
      <c r="F113" s="133"/>
      <c r="G113" s="133"/>
      <c r="H113" s="133"/>
      <c r="I113" s="133"/>
      <c r="J113" s="133"/>
      <c r="K113" s="133"/>
      <c r="L113" s="133"/>
      <c r="M113" s="133"/>
      <c r="N113" s="133"/>
      <c r="O113" s="133"/>
    </row>
    <row r="114" spans="1:15" ht="60">
      <c r="A114" s="133"/>
      <c r="B114" s="133"/>
      <c r="C114" s="133"/>
      <c r="D114" s="134"/>
      <c r="E114" s="133"/>
      <c r="F114" s="133"/>
      <c r="G114" s="133"/>
      <c r="H114" s="133"/>
      <c r="I114" s="133"/>
      <c r="J114" s="133"/>
      <c r="K114" s="133"/>
      <c r="L114" s="133"/>
      <c r="M114" s="133"/>
      <c r="N114" s="133"/>
      <c r="O114" s="133"/>
    </row>
    <row r="115" spans="1:15" ht="12.75">
      <c r="A115" s="133"/>
      <c r="B115" s="133"/>
      <c r="C115" s="133"/>
      <c r="D115" s="133"/>
      <c r="E115" s="133"/>
      <c r="F115" s="133"/>
      <c r="G115" s="133"/>
      <c r="H115" s="133"/>
      <c r="I115" s="133"/>
      <c r="J115" s="133"/>
      <c r="K115" s="133"/>
      <c r="L115" s="133"/>
      <c r="M115" s="133"/>
      <c r="N115" s="133"/>
      <c r="O115" s="133"/>
    </row>
    <row r="116" spans="1:15" ht="12.75">
      <c r="A116" s="133"/>
      <c r="B116" s="133"/>
      <c r="C116" s="133"/>
      <c r="D116" s="133"/>
      <c r="E116" s="133"/>
      <c r="F116" s="133"/>
      <c r="G116" s="133"/>
      <c r="H116" s="133"/>
      <c r="I116" s="133"/>
      <c r="J116" s="133"/>
      <c r="K116" s="133"/>
      <c r="L116" s="133"/>
      <c r="M116" s="133"/>
      <c r="N116" s="133"/>
      <c r="O116" s="133"/>
    </row>
    <row r="117" spans="1:15" ht="12.75">
      <c r="A117" s="133"/>
      <c r="B117" s="133"/>
      <c r="C117" s="133"/>
      <c r="D117" s="133"/>
      <c r="E117" s="133"/>
      <c r="F117" s="133"/>
      <c r="G117" s="133"/>
      <c r="H117" s="133"/>
      <c r="I117" s="133"/>
      <c r="J117" s="133"/>
      <c r="K117" s="133"/>
      <c r="L117" s="133"/>
      <c r="M117" s="133"/>
      <c r="N117" s="133"/>
      <c r="O117" s="133"/>
    </row>
    <row r="118" spans="1:15" ht="12.75">
      <c r="A118" s="133"/>
      <c r="B118" s="133"/>
      <c r="C118" s="133"/>
      <c r="D118" s="133"/>
      <c r="E118" s="133"/>
      <c r="F118" s="133"/>
      <c r="G118" s="133"/>
      <c r="H118" s="133"/>
      <c r="I118" s="133"/>
      <c r="J118" s="133"/>
      <c r="K118" s="133"/>
      <c r="L118" s="133"/>
      <c r="M118" s="133"/>
      <c r="N118" s="133"/>
      <c r="O118" s="133"/>
    </row>
    <row r="119" spans="1:15" ht="12.75">
      <c r="A119" s="133"/>
      <c r="B119" s="133"/>
      <c r="C119" s="133"/>
      <c r="D119" s="133"/>
      <c r="E119" s="133"/>
      <c r="F119" s="133"/>
      <c r="G119" s="133"/>
      <c r="H119" s="133"/>
      <c r="I119" s="133"/>
      <c r="J119" s="133"/>
      <c r="K119" s="133"/>
      <c r="L119" s="133"/>
      <c r="M119" s="133"/>
      <c r="N119" s="133"/>
      <c r="O119" s="133"/>
    </row>
    <row r="120" spans="1:15" ht="12.75">
      <c r="A120" s="133"/>
      <c r="B120" s="133"/>
      <c r="C120" s="133"/>
      <c r="D120" s="133"/>
      <c r="E120" s="133"/>
      <c r="F120" s="133"/>
      <c r="G120" s="133"/>
      <c r="H120" s="133"/>
      <c r="I120" s="133"/>
      <c r="J120" s="133"/>
      <c r="K120" s="133"/>
      <c r="L120" s="133"/>
      <c r="M120" s="133"/>
      <c r="N120" s="133"/>
      <c r="O120" s="133"/>
    </row>
    <row r="121" spans="1:15" ht="12.75">
      <c r="A121" s="133"/>
      <c r="B121" s="133"/>
      <c r="C121" s="133"/>
      <c r="D121" s="133"/>
      <c r="E121" s="133"/>
      <c r="F121" s="133"/>
      <c r="G121" s="133"/>
      <c r="H121" s="133"/>
      <c r="I121" s="133"/>
      <c r="J121" s="133"/>
      <c r="K121" s="133"/>
      <c r="L121" s="133"/>
      <c r="M121" s="133"/>
      <c r="N121" s="133"/>
      <c r="O121" s="133"/>
    </row>
    <row r="122" spans="1:15" ht="12.75">
      <c r="A122" s="133"/>
      <c r="B122" s="133"/>
      <c r="C122" s="133"/>
      <c r="D122" s="133"/>
      <c r="E122" s="133"/>
      <c r="F122" s="133"/>
      <c r="G122" s="133"/>
      <c r="H122" s="133"/>
      <c r="I122" s="133"/>
      <c r="J122" s="133"/>
      <c r="K122" s="133"/>
      <c r="L122" s="133"/>
      <c r="M122" s="133"/>
      <c r="N122" s="133"/>
      <c r="O122" s="133"/>
    </row>
    <row r="123" spans="1:15" ht="12.75">
      <c r="A123" s="133"/>
      <c r="B123" s="133"/>
      <c r="C123" s="133"/>
      <c r="D123" s="133"/>
      <c r="E123" s="133"/>
      <c r="F123" s="133"/>
      <c r="G123" s="133"/>
      <c r="H123" s="133"/>
      <c r="I123" s="133"/>
      <c r="J123" s="133"/>
      <c r="K123" s="133"/>
      <c r="L123" s="133"/>
      <c r="M123" s="133"/>
      <c r="N123" s="133"/>
      <c r="O123" s="133"/>
    </row>
    <row r="124" spans="1:15" ht="12.75">
      <c r="A124" s="133"/>
      <c r="B124" s="133"/>
      <c r="C124" s="133"/>
      <c r="D124" s="133"/>
      <c r="E124" s="133"/>
      <c r="F124" s="133"/>
      <c r="G124" s="133"/>
      <c r="H124" s="133"/>
      <c r="I124" s="133"/>
      <c r="J124" s="133"/>
      <c r="K124" s="133"/>
      <c r="L124" s="133"/>
      <c r="M124" s="133"/>
      <c r="N124" s="133"/>
      <c r="O124" s="133"/>
    </row>
    <row r="125" spans="1:15" ht="12.75">
      <c r="A125" s="133"/>
      <c r="B125" s="133"/>
      <c r="C125" s="133"/>
      <c r="D125" s="133"/>
      <c r="E125" s="133"/>
      <c r="F125" s="133"/>
      <c r="G125" s="133"/>
      <c r="H125" s="133"/>
      <c r="I125" s="133"/>
      <c r="J125" s="133"/>
      <c r="K125" s="133"/>
      <c r="L125" s="133"/>
      <c r="M125" s="133"/>
      <c r="N125" s="133"/>
      <c r="O125" s="133"/>
    </row>
    <row r="126" spans="1:15" ht="12.75">
      <c r="A126" s="133"/>
      <c r="B126" s="133"/>
      <c r="C126" s="133"/>
      <c r="D126" s="133"/>
      <c r="E126" s="133"/>
      <c r="F126" s="133"/>
      <c r="G126" s="133"/>
      <c r="H126" s="133"/>
      <c r="I126" s="133"/>
      <c r="J126" s="133"/>
      <c r="K126" s="133"/>
      <c r="L126" s="133"/>
      <c r="M126" s="133"/>
      <c r="N126" s="133"/>
      <c r="O126" s="133"/>
    </row>
    <row r="127" spans="1:15" ht="12.75">
      <c r="A127" s="133"/>
      <c r="B127" s="133"/>
      <c r="C127" s="133"/>
      <c r="D127" s="133"/>
      <c r="E127" s="133"/>
      <c r="F127" s="133"/>
      <c r="G127" s="133"/>
      <c r="H127" s="133"/>
      <c r="I127" s="133"/>
      <c r="J127" s="133"/>
      <c r="K127" s="133"/>
      <c r="L127" s="133"/>
      <c r="M127" s="133"/>
      <c r="N127" s="133"/>
      <c r="O127" s="133"/>
    </row>
    <row r="128" spans="1:15" ht="12.75">
      <c r="A128" s="133"/>
      <c r="B128" s="133"/>
      <c r="C128" s="133"/>
      <c r="D128" s="133"/>
      <c r="E128" s="133"/>
      <c r="F128" s="133"/>
      <c r="G128" s="133"/>
      <c r="H128" s="133"/>
      <c r="I128" s="133"/>
      <c r="J128" s="133"/>
      <c r="K128" s="133"/>
      <c r="L128" s="133"/>
      <c r="M128" s="133"/>
      <c r="N128" s="133"/>
      <c r="O128" s="133"/>
    </row>
    <row r="129" spans="1:15" ht="12.75">
      <c r="A129" s="133"/>
      <c r="B129" s="133"/>
      <c r="C129" s="133"/>
      <c r="D129" s="133"/>
      <c r="E129" s="133"/>
      <c r="F129" s="133"/>
      <c r="G129" s="133"/>
      <c r="H129" s="133"/>
      <c r="I129" s="133"/>
      <c r="J129" s="133"/>
      <c r="K129" s="133"/>
      <c r="L129" s="133"/>
      <c r="M129" s="133"/>
      <c r="N129" s="133"/>
      <c r="O129" s="133"/>
    </row>
    <row r="130" spans="1:15" ht="12.75">
      <c r="A130" s="133"/>
      <c r="B130" s="133"/>
      <c r="C130" s="133"/>
      <c r="D130" s="133"/>
      <c r="E130" s="133"/>
      <c r="F130" s="133"/>
      <c r="G130" s="133"/>
      <c r="H130" s="133"/>
      <c r="I130" s="133"/>
      <c r="J130" s="133"/>
      <c r="K130" s="133"/>
      <c r="L130" s="133"/>
      <c r="M130" s="133"/>
      <c r="N130" s="133"/>
      <c r="O130" s="133"/>
    </row>
    <row r="131" spans="1:15" ht="12.75">
      <c r="A131" s="133"/>
      <c r="B131" s="133"/>
      <c r="C131" s="133"/>
      <c r="D131" s="133"/>
      <c r="E131" s="133"/>
      <c r="F131" s="133"/>
      <c r="G131" s="133"/>
      <c r="H131" s="133"/>
      <c r="I131" s="133"/>
      <c r="J131" s="133"/>
      <c r="K131" s="133"/>
      <c r="L131" s="133"/>
      <c r="M131" s="133"/>
      <c r="N131" s="133"/>
      <c r="O131" s="133"/>
    </row>
  </sheetData>
  <printOptions/>
  <pageMargins left="0.75" right="0.75" top="1" bottom="1" header="0.5" footer="0.5"/>
  <pageSetup fitToHeight="1" fitToWidth="1" horizontalDpi="600" verticalDpi="600" orientation="portrait" scale="34" r:id="rId1"/>
  <headerFooter alignWithMargins="0">
    <oddHeader>&amp;CTotal Cost of Application Ownership (TCA) Calculator</oddHeader>
    <oddFooter>&amp;LThe Tolly Group TCA Calculator&amp;R© The Tolly Group, 1999</oddFooter>
  </headerFooter>
</worksheet>
</file>

<file path=xl/worksheets/sheet58.xml><?xml version="1.0" encoding="utf-8"?>
<worksheet xmlns="http://schemas.openxmlformats.org/spreadsheetml/2006/main" xmlns:r="http://schemas.openxmlformats.org/officeDocument/2006/relationships">
  <sheetPr codeName="Sheet311">
    <pageSetUpPr fitToPage="1"/>
  </sheetPr>
  <dimension ref="A1:O34"/>
  <sheetViews>
    <sheetView workbookViewId="0" topLeftCell="A1">
      <selection activeCell="F15" sqref="F15"/>
    </sheetView>
  </sheetViews>
  <sheetFormatPr defaultColWidth="9.140625" defaultRowHeight="12.75"/>
  <cols>
    <col min="1" max="1" width="13.7109375" style="0" customWidth="1"/>
    <col min="2" max="2" width="12.8515625" style="0" customWidth="1"/>
    <col min="4" max="4" width="13.7109375" style="0" bestFit="1" customWidth="1"/>
    <col min="5" max="5" width="11.140625" style="0" bestFit="1" customWidth="1"/>
    <col min="6" max="6" width="12.7109375" style="0" bestFit="1" customWidth="1"/>
    <col min="8" max="8" width="12.421875" style="0" customWidth="1"/>
    <col min="10" max="10" width="12.00390625" style="0" customWidth="1"/>
    <col min="11" max="11" width="10.8515625" style="0" customWidth="1"/>
  </cols>
  <sheetData>
    <row r="1" spans="1:15" ht="12.75">
      <c r="A1" s="148">
        <v>4</v>
      </c>
      <c r="B1" s="133"/>
      <c r="C1" s="133"/>
      <c r="D1" s="133"/>
      <c r="E1" s="133"/>
      <c r="F1" s="133"/>
      <c r="G1" s="133"/>
      <c r="H1" s="133"/>
      <c r="I1" s="133"/>
      <c r="J1" s="133"/>
      <c r="K1" s="133"/>
      <c r="L1" s="133"/>
      <c r="M1" s="133"/>
      <c r="N1" s="133"/>
      <c r="O1" s="133"/>
    </row>
    <row r="2" spans="1:15" ht="12.75">
      <c r="A2" s="133"/>
      <c r="B2" s="133"/>
      <c r="C2" s="133"/>
      <c r="D2" s="133"/>
      <c r="E2" s="133"/>
      <c r="F2" s="133"/>
      <c r="G2" s="133"/>
      <c r="H2" s="133"/>
      <c r="I2" s="133"/>
      <c r="J2" s="133"/>
      <c r="K2" s="133"/>
      <c r="L2" s="133"/>
      <c r="M2" s="133"/>
      <c r="N2" s="133"/>
      <c r="O2" s="133"/>
    </row>
    <row r="3" spans="1:15" ht="12.75">
      <c r="A3" s="133"/>
      <c r="B3" s="133"/>
      <c r="C3" s="133"/>
      <c r="D3" s="133"/>
      <c r="E3" s="133"/>
      <c r="F3" s="133"/>
      <c r="G3" s="133"/>
      <c r="H3" s="133"/>
      <c r="I3" s="133"/>
      <c r="J3" s="133"/>
      <c r="K3" s="133"/>
      <c r="L3" s="133"/>
      <c r="M3" s="133"/>
      <c r="N3" s="133"/>
      <c r="O3" s="133"/>
    </row>
    <row r="4" spans="1:15" ht="60">
      <c r="A4" s="134" t="s">
        <v>301</v>
      </c>
      <c r="B4" s="133"/>
      <c r="C4" s="133"/>
      <c r="D4" s="133"/>
      <c r="E4" s="133"/>
      <c r="F4" s="133"/>
      <c r="G4" s="133"/>
      <c r="H4" s="133"/>
      <c r="I4" s="133"/>
      <c r="J4" s="133"/>
      <c r="K4" s="133"/>
      <c r="L4" s="133"/>
      <c r="M4" s="133"/>
      <c r="N4" s="133"/>
      <c r="O4" s="133"/>
    </row>
    <row r="5" spans="1:15" ht="12.75">
      <c r="A5" s="133"/>
      <c r="B5" s="133"/>
      <c r="C5" s="133"/>
      <c r="D5" s="133"/>
      <c r="E5" s="133"/>
      <c r="F5" s="133"/>
      <c r="G5" s="133"/>
      <c r="H5" s="133"/>
      <c r="I5" s="133"/>
      <c r="J5" s="133"/>
      <c r="K5" s="133"/>
      <c r="L5" s="133"/>
      <c r="M5" s="133"/>
      <c r="N5" s="133"/>
      <c r="O5" s="133"/>
    </row>
    <row r="6" spans="1:15" ht="12.75">
      <c r="A6" s="133"/>
      <c r="B6" s="133"/>
      <c r="C6" s="133"/>
      <c r="D6" s="133"/>
      <c r="E6" s="133"/>
      <c r="F6" s="133"/>
      <c r="G6" s="133"/>
      <c r="H6" s="133"/>
      <c r="I6" s="133"/>
      <c r="J6" s="133"/>
      <c r="K6" s="133"/>
      <c r="L6" s="133"/>
      <c r="M6" s="133"/>
      <c r="N6" s="133"/>
      <c r="O6" s="133"/>
    </row>
    <row r="7" spans="1:15" ht="12.75">
      <c r="A7" s="133"/>
      <c r="B7" s="133"/>
      <c r="C7" s="133"/>
      <c r="D7" s="133"/>
      <c r="E7" s="133"/>
      <c r="F7" s="133"/>
      <c r="G7" s="133"/>
      <c r="H7" s="133"/>
      <c r="I7" s="133"/>
      <c r="J7" s="133"/>
      <c r="K7" s="133"/>
      <c r="L7" s="133"/>
      <c r="M7" s="133"/>
      <c r="N7" s="133"/>
      <c r="O7" s="133"/>
    </row>
    <row r="8" spans="1:15" ht="12.75">
      <c r="A8" s="133"/>
      <c r="B8" s="133"/>
      <c r="C8" s="133"/>
      <c r="D8" s="133"/>
      <c r="E8" s="133"/>
      <c r="F8" s="133"/>
      <c r="G8" s="133"/>
      <c r="H8" s="133"/>
      <c r="I8" s="133"/>
      <c r="J8" s="133"/>
      <c r="K8" s="133"/>
      <c r="L8" s="133"/>
      <c r="M8" s="133"/>
      <c r="N8" s="133"/>
      <c r="O8" s="133"/>
    </row>
    <row r="9" spans="1:15" ht="12.75">
      <c r="A9" s="133"/>
      <c r="B9" s="133"/>
      <c r="C9" s="133"/>
      <c r="D9" s="133"/>
      <c r="E9" s="133"/>
      <c r="F9" s="133"/>
      <c r="G9" s="133"/>
      <c r="H9" s="133"/>
      <c r="I9" s="133"/>
      <c r="J9" s="133"/>
      <c r="K9" s="133"/>
      <c r="L9" s="133"/>
      <c r="M9" s="133"/>
      <c r="N9" s="133"/>
      <c r="O9" s="133"/>
    </row>
    <row r="10" spans="1:15" ht="12.75">
      <c r="A10" s="133"/>
      <c r="B10" s="133"/>
      <c r="C10" s="133"/>
      <c r="D10" s="133"/>
      <c r="E10" s="133"/>
      <c r="F10" s="133"/>
      <c r="G10" s="133"/>
      <c r="H10" s="133"/>
      <c r="I10" s="133"/>
      <c r="J10" s="133"/>
      <c r="K10" s="133"/>
      <c r="L10" s="133"/>
      <c r="M10" s="133"/>
      <c r="N10" s="133"/>
      <c r="O10" s="133"/>
    </row>
    <row r="11" spans="1:15" ht="12.75">
      <c r="A11" s="133"/>
      <c r="B11" s="133"/>
      <c r="C11" s="133"/>
      <c r="D11" s="133"/>
      <c r="E11" s="133"/>
      <c r="F11" s="133"/>
      <c r="G11" s="133"/>
      <c r="H11" s="133"/>
      <c r="I11" s="133"/>
      <c r="J11" s="133"/>
      <c r="K11" s="133"/>
      <c r="L11" s="133"/>
      <c r="M11" s="133"/>
      <c r="N11" s="133"/>
      <c r="O11" s="133"/>
    </row>
    <row r="12" spans="1:15" ht="12.75">
      <c r="A12" s="133"/>
      <c r="B12" s="133"/>
      <c r="C12" s="133"/>
      <c r="D12" s="133"/>
      <c r="E12" s="133"/>
      <c r="F12" s="133"/>
      <c r="G12" s="133"/>
      <c r="H12" s="133"/>
      <c r="I12" s="133"/>
      <c r="J12" s="133"/>
      <c r="K12" s="133"/>
      <c r="L12" s="133"/>
      <c r="M12" s="133"/>
      <c r="N12" s="133"/>
      <c r="O12" s="133"/>
    </row>
    <row r="13" spans="1:15" ht="12.75">
      <c r="A13" s="133"/>
      <c r="B13" s="133"/>
      <c r="C13" s="133"/>
      <c r="D13" s="133"/>
      <c r="E13" s="133"/>
      <c r="F13" s="133"/>
      <c r="G13" s="133"/>
      <c r="H13" s="133"/>
      <c r="I13" s="133"/>
      <c r="J13" s="133"/>
      <c r="K13" s="133"/>
      <c r="L13" s="133"/>
      <c r="M13" s="133"/>
      <c r="N13" s="133"/>
      <c r="O13" s="133"/>
    </row>
    <row r="14" spans="1:15" ht="12.75">
      <c r="A14" s="133"/>
      <c r="B14" s="133"/>
      <c r="C14" s="133"/>
      <c r="D14" s="133"/>
      <c r="E14" s="133"/>
      <c r="F14" s="133"/>
      <c r="G14" s="133"/>
      <c r="H14" s="133"/>
      <c r="I14" s="133"/>
      <c r="J14" s="133"/>
      <c r="K14" s="133"/>
      <c r="L14" s="133"/>
      <c r="M14" s="133"/>
      <c r="N14" s="133"/>
      <c r="O14" s="133"/>
    </row>
    <row r="15" spans="1:15" ht="60">
      <c r="A15" s="133"/>
      <c r="B15" s="133"/>
      <c r="C15" s="133"/>
      <c r="D15" s="134"/>
      <c r="E15" s="133"/>
      <c r="F15" s="133"/>
      <c r="G15" s="133"/>
      <c r="H15" s="133"/>
      <c r="I15" s="133"/>
      <c r="J15" s="133"/>
      <c r="K15" s="133"/>
      <c r="L15" s="133"/>
      <c r="M15" s="133"/>
      <c r="N15" s="133"/>
      <c r="O15" s="133"/>
    </row>
    <row r="16" spans="1:15" ht="12.75">
      <c r="A16" s="133"/>
      <c r="B16" s="133"/>
      <c r="C16" s="133"/>
      <c r="D16" s="133"/>
      <c r="E16" s="133"/>
      <c r="F16" s="133"/>
      <c r="G16" s="133"/>
      <c r="H16" s="133"/>
      <c r="I16" s="133"/>
      <c r="J16" s="133"/>
      <c r="K16" s="133"/>
      <c r="L16" s="133"/>
      <c r="M16" s="133"/>
      <c r="N16" s="133"/>
      <c r="O16" s="133"/>
    </row>
    <row r="17" spans="1:15" ht="12.75">
      <c r="A17" s="133"/>
      <c r="B17" s="133"/>
      <c r="C17" s="133"/>
      <c r="D17" s="133"/>
      <c r="E17" s="133"/>
      <c r="F17" s="133"/>
      <c r="G17" s="133"/>
      <c r="H17" s="133"/>
      <c r="I17" s="133"/>
      <c r="J17" s="133"/>
      <c r="K17" s="133"/>
      <c r="L17" s="133"/>
      <c r="M17" s="133"/>
      <c r="N17" s="133"/>
      <c r="O17" s="133"/>
    </row>
    <row r="18" spans="1:15" ht="12.75">
      <c r="A18" s="133"/>
      <c r="B18" s="133"/>
      <c r="C18" s="133"/>
      <c r="D18" s="133"/>
      <c r="E18" s="133"/>
      <c r="F18" s="133"/>
      <c r="G18" s="133"/>
      <c r="H18" s="133"/>
      <c r="I18" s="133"/>
      <c r="J18" s="133"/>
      <c r="K18" s="133"/>
      <c r="L18" s="133"/>
      <c r="M18" s="133"/>
      <c r="N18" s="133"/>
      <c r="O18" s="133"/>
    </row>
    <row r="19" spans="1:15" ht="12.75">
      <c r="A19" s="133"/>
      <c r="B19" s="133"/>
      <c r="C19" s="133"/>
      <c r="D19" s="133"/>
      <c r="E19" s="133"/>
      <c r="F19" s="133"/>
      <c r="G19" s="133"/>
      <c r="H19" s="133"/>
      <c r="I19" s="133"/>
      <c r="J19" s="133"/>
      <c r="K19" s="133"/>
      <c r="L19" s="133"/>
      <c r="M19" s="133"/>
      <c r="N19" s="133"/>
      <c r="O19" s="133"/>
    </row>
    <row r="20" spans="1:15" ht="12.75">
      <c r="A20" s="133"/>
      <c r="B20" s="133"/>
      <c r="C20" s="133"/>
      <c r="D20" s="133"/>
      <c r="E20" s="133"/>
      <c r="F20" s="133"/>
      <c r="G20" s="133"/>
      <c r="H20" s="133"/>
      <c r="I20" s="133"/>
      <c r="J20" s="133"/>
      <c r="K20" s="133"/>
      <c r="L20" s="133"/>
      <c r="M20" s="133"/>
      <c r="N20" s="133"/>
      <c r="O20" s="133"/>
    </row>
    <row r="21" spans="1:15" ht="12.75">
      <c r="A21" s="133"/>
      <c r="B21" s="133"/>
      <c r="C21" s="133"/>
      <c r="D21" s="133"/>
      <c r="E21" s="133"/>
      <c r="F21" s="133"/>
      <c r="G21" s="133"/>
      <c r="H21" s="133"/>
      <c r="I21" s="133"/>
      <c r="J21" s="133"/>
      <c r="K21" s="133"/>
      <c r="L21" s="133"/>
      <c r="M21" s="133"/>
      <c r="N21" s="133"/>
      <c r="O21" s="133"/>
    </row>
    <row r="22" spans="1:15" ht="12.75">
      <c r="A22" s="133"/>
      <c r="B22" s="133"/>
      <c r="C22" s="133"/>
      <c r="D22" s="133"/>
      <c r="E22" s="133"/>
      <c r="F22" s="133"/>
      <c r="G22" s="133"/>
      <c r="H22" s="133"/>
      <c r="I22" s="133"/>
      <c r="J22" s="133"/>
      <c r="K22" s="133"/>
      <c r="L22" s="133"/>
      <c r="M22" s="133"/>
      <c r="N22" s="133"/>
      <c r="O22" s="133"/>
    </row>
    <row r="23" spans="1:15" ht="12.75">
      <c r="A23" s="133"/>
      <c r="B23" s="133"/>
      <c r="C23" s="133"/>
      <c r="D23" s="133"/>
      <c r="E23" s="133"/>
      <c r="F23" s="133"/>
      <c r="G23" s="133"/>
      <c r="H23" s="133"/>
      <c r="I23" s="133"/>
      <c r="J23" s="133"/>
      <c r="K23" s="133"/>
      <c r="L23" s="133"/>
      <c r="M23" s="133"/>
      <c r="N23" s="133"/>
      <c r="O23" s="133"/>
    </row>
    <row r="24" spans="1:15" ht="12.75">
      <c r="A24" s="133"/>
      <c r="B24" s="133"/>
      <c r="C24" s="133"/>
      <c r="D24" s="133"/>
      <c r="E24" s="133"/>
      <c r="F24" s="133"/>
      <c r="G24" s="133"/>
      <c r="H24" s="133"/>
      <c r="I24" s="133"/>
      <c r="J24" s="133"/>
      <c r="K24" s="133"/>
      <c r="L24" s="133"/>
      <c r="M24" s="133"/>
      <c r="N24" s="133"/>
      <c r="O24" s="133"/>
    </row>
    <row r="25" spans="1:15" ht="12.75">
      <c r="A25" s="133"/>
      <c r="B25" s="133"/>
      <c r="C25" s="133"/>
      <c r="D25" s="133"/>
      <c r="E25" s="133"/>
      <c r="F25" s="133"/>
      <c r="G25" s="133"/>
      <c r="H25" s="133"/>
      <c r="I25" s="133"/>
      <c r="J25" s="133"/>
      <c r="K25" s="133"/>
      <c r="L25" s="133"/>
      <c r="M25" s="133"/>
      <c r="N25" s="133"/>
      <c r="O25" s="133"/>
    </row>
    <row r="26" spans="1:15" ht="12.75">
      <c r="A26" s="133"/>
      <c r="B26" s="133"/>
      <c r="C26" s="133"/>
      <c r="D26" s="133"/>
      <c r="E26" s="133"/>
      <c r="F26" s="133"/>
      <c r="G26" s="133"/>
      <c r="H26" s="133"/>
      <c r="I26" s="133"/>
      <c r="J26" s="133"/>
      <c r="K26" s="133"/>
      <c r="L26" s="133"/>
      <c r="M26" s="133"/>
      <c r="N26" s="133"/>
      <c r="O26" s="133"/>
    </row>
    <row r="27" spans="1:15" ht="12.75">
      <c r="A27" s="133"/>
      <c r="B27" s="133"/>
      <c r="C27" s="133"/>
      <c r="D27" s="133"/>
      <c r="E27" s="133"/>
      <c r="F27" s="133"/>
      <c r="G27" s="133"/>
      <c r="H27" s="133"/>
      <c r="I27" s="133"/>
      <c r="J27" s="133"/>
      <c r="K27" s="133"/>
      <c r="L27" s="133"/>
      <c r="M27" s="133"/>
      <c r="N27" s="133"/>
      <c r="O27" s="133"/>
    </row>
    <row r="28" spans="1:15" ht="12.75">
      <c r="A28" s="133"/>
      <c r="B28" s="133"/>
      <c r="C28" s="133"/>
      <c r="D28" s="133"/>
      <c r="E28" s="133"/>
      <c r="F28" s="133"/>
      <c r="G28" s="133"/>
      <c r="H28" s="133"/>
      <c r="I28" s="133"/>
      <c r="J28" s="133"/>
      <c r="K28" s="133"/>
      <c r="L28" s="133"/>
      <c r="M28" s="133"/>
      <c r="N28" s="133"/>
      <c r="O28" s="133"/>
    </row>
    <row r="29" spans="1:15" ht="12.75">
      <c r="A29" s="133"/>
      <c r="B29" s="133"/>
      <c r="C29" s="133"/>
      <c r="D29" s="133"/>
      <c r="E29" s="133"/>
      <c r="F29" s="133"/>
      <c r="G29" s="133"/>
      <c r="H29" s="133"/>
      <c r="I29" s="133"/>
      <c r="J29" s="133"/>
      <c r="K29" s="133"/>
      <c r="L29" s="133"/>
      <c r="M29" s="133"/>
      <c r="N29" s="133"/>
      <c r="O29" s="133"/>
    </row>
    <row r="30" spans="1:15" ht="12.75">
      <c r="A30" s="133"/>
      <c r="B30" s="133"/>
      <c r="C30" s="133"/>
      <c r="D30" s="133"/>
      <c r="E30" s="133"/>
      <c r="F30" s="133"/>
      <c r="G30" s="133"/>
      <c r="H30" s="133"/>
      <c r="I30" s="133"/>
      <c r="J30" s="133"/>
      <c r="K30" s="133"/>
      <c r="L30" s="133"/>
      <c r="M30" s="133"/>
      <c r="N30" s="133"/>
      <c r="O30" s="133"/>
    </row>
    <row r="31" spans="1:15" ht="12.75">
      <c r="A31" s="133"/>
      <c r="B31" s="133"/>
      <c r="C31" s="133"/>
      <c r="D31" s="133"/>
      <c r="E31" s="133"/>
      <c r="F31" s="133"/>
      <c r="G31" s="133"/>
      <c r="H31" s="133"/>
      <c r="I31" s="133"/>
      <c r="J31" s="133"/>
      <c r="K31" s="133"/>
      <c r="L31" s="133"/>
      <c r="M31" s="133"/>
      <c r="N31" s="133"/>
      <c r="O31" s="133"/>
    </row>
    <row r="32" spans="1:13" ht="12.75">
      <c r="A32" s="133"/>
      <c r="B32" s="133"/>
      <c r="C32" s="133"/>
      <c r="D32" s="133"/>
      <c r="E32" s="133"/>
      <c r="F32" s="133"/>
      <c r="G32" s="133"/>
      <c r="H32" s="133"/>
      <c r="I32" s="133"/>
      <c r="J32" s="133"/>
      <c r="K32" s="133"/>
      <c r="L32" s="133"/>
      <c r="M32" s="133"/>
    </row>
    <row r="33" spans="1:13" ht="12.75">
      <c r="A33" s="133"/>
      <c r="B33" s="133"/>
      <c r="C33" s="133"/>
      <c r="D33" s="133"/>
      <c r="E33" s="133"/>
      <c r="F33" s="133"/>
      <c r="G33" s="133"/>
      <c r="H33" s="133"/>
      <c r="I33" s="133"/>
      <c r="J33" s="133"/>
      <c r="K33" s="133"/>
      <c r="L33" s="133"/>
      <c r="M33" s="133"/>
    </row>
    <row r="34" spans="1:13" ht="12.75">
      <c r="A34" s="133"/>
      <c r="B34" s="133"/>
      <c r="C34" s="133"/>
      <c r="D34" s="133"/>
      <c r="E34" s="133"/>
      <c r="F34" s="133"/>
      <c r="G34" s="133"/>
      <c r="H34" s="133"/>
      <c r="I34" s="133"/>
      <c r="J34" s="133"/>
      <c r="K34" s="133"/>
      <c r="L34" s="133"/>
      <c r="M34" s="133"/>
    </row>
  </sheetData>
  <printOptions/>
  <pageMargins left="0.75" right="0.75" top="1" bottom="1" header="0.5" footer="0.5"/>
  <pageSetup fitToHeight="1" fitToWidth="1" horizontalDpi="600" verticalDpi="600" orientation="portrait" scale="55" r:id="rId1"/>
  <headerFooter alignWithMargins="0">
    <oddHeader>&amp;CTotal Cost of Application Ownership (TCA) Calculator</oddHeader>
    <oddFooter>&amp;LThe Tolly Group TCA Calculator&amp;R© The Tolly Group, 1999</oddFooter>
  </headerFooter>
</worksheet>
</file>

<file path=xl/worksheets/sheet6.xml><?xml version="1.0" encoding="utf-8"?>
<worksheet xmlns="http://schemas.openxmlformats.org/spreadsheetml/2006/main" xmlns:r="http://schemas.openxmlformats.org/officeDocument/2006/relationships">
  <sheetPr codeName="Sheet62">
    <pageSetUpPr fitToPage="1"/>
  </sheetPr>
  <dimension ref="A1:P39"/>
  <sheetViews>
    <sheetView showRowColHeaders="0" workbookViewId="0" topLeftCell="A1">
      <selection activeCell="A1" sqref="A1"/>
    </sheetView>
  </sheetViews>
  <sheetFormatPr defaultColWidth="9.140625" defaultRowHeight="12.75"/>
  <cols>
    <col min="3" max="3" width="9.57421875" style="0" customWidth="1"/>
    <col min="5" max="5" width="9.8515625" style="0" customWidth="1"/>
    <col min="6" max="6" width="15.140625" style="0" customWidth="1"/>
    <col min="7" max="7" width="13.14062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3"/>
      <c r="J2" s="3"/>
      <c r="K2" s="13"/>
      <c r="L2" s="301"/>
      <c r="M2" s="301"/>
      <c r="N2" s="301"/>
      <c r="O2" s="301"/>
      <c r="P2" s="301"/>
    </row>
    <row r="3" spans="1:16" ht="12.75">
      <c r="A3" s="301"/>
      <c r="B3" s="4"/>
      <c r="C3" s="5"/>
      <c r="D3" s="5"/>
      <c r="E3" s="5"/>
      <c r="F3" s="5"/>
      <c r="G3" s="5"/>
      <c r="H3" s="5"/>
      <c r="I3" s="5"/>
      <c r="J3" s="5"/>
      <c r="K3" s="6"/>
      <c r="L3" s="301"/>
      <c r="M3" s="301"/>
      <c r="N3" s="301"/>
      <c r="O3" s="301"/>
      <c r="P3" s="301"/>
    </row>
    <row r="4" spans="1:16" ht="15.75">
      <c r="A4" s="301"/>
      <c r="B4" s="14"/>
      <c r="C4" s="30" t="s">
        <v>615</v>
      </c>
      <c r="D4" s="5"/>
      <c r="E4" s="5"/>
      <c r="F4" s="5"/>
      <c r="G4" s="5"/>
      <c r="H4" s="5"/>
      <c r="I4" s="5"/>
      <c r="J4" s="5"/>
      <c r="K4" s="6"/>
      <c r="L4" s="301"/>
      <c r="M4" s="301"/>
      <c r="N4" s="301"/>
      <c r="O4" s="301"/>
      <c r="P4" s="301"/>
    </row>
    <row r="5" spans="1:16" ht="12.75">
      <c r="A5" s="301"/>
      <c r="B5" s="4"/>
      <c r="C5" s="5"/>
      <c r="D5" s="5"/>
      <c r="E5" s="5"/>
      <c r="F5" s="5"/>
      <c r="G5" s="5"/>
      <c r="H5" s="51" t="s">
        <v>1</v>
      </c>
      <c r="I5" s="51"/>
      <c r="J5" s="51"/>
      <c r="K5" s="6"/>
      <c r="L5" s="301"/>
      <c r="M5" s="301"/>
      <c r="N5" s="301"/>
      <c r="O5" s="301"/>
      <c r="P5" s="301"/>
    </row>
    <row r="6" spans="1:16" ht="15.75">
      <c r="A6" s="301"/>
      <c r="B6" s="14"/>
      <c r="C6" s="30" t="s">
        <v>616</v>
      </c>
      <c r="D6" s="5"/>
      <c r="E6" s="5"/>
      <c r="F6" s="5"/>
      <c r="G6" s="31"/>
      <c r="H6" s="352" t="s">
        <v>537</v>
      </c>
      <c r="I6" s="352"/>
      <c r="J6" s="352"/>
      <c r="K6" s="6"/>
      <c r="L6" s="301"/>
      <c r="M6" s="301"/>
      <c r="N6" s="301"/>
      <c r="O6" s="301"/>
      <c r="P6" s="301"/>
    </row>
    <row r="7" spans="1:16" ht="51">
      <c r="A7" s="301"/>
      <c r="B7" s="4"/>
      <c r="C7" s="15"/>
      <c r="D7" s="15" t="s">
        <v>545</v>
      </c>
      <c r="E7" s="5"/>
      <c r="F7" s="5"/>
      <c r="G7" s="139" t="s">
        <v>520</v>
      </c>
      <c r="H7" s="272" t="s">
        <v>534</v>
      </c>
      <c r="I7" s="277" t="s">
        <v>533</v>
      </c>
      <c r="J7" s="278" t="s">
        <v>535</v>
      </c>
      <c r="K7" s="6"/>
      <c r="L7" s="301"/>
      <c r="M7" s="301"/>
      <c r="N7" s="301"/>
      <c r="O7" s="301"/>
      <c r="P7" s="301"/>
    </row>
    <row r="8" spans="1:16" ht="12.75">
      <c r="A8" s="301"/>
      <c r="B8" s="4"/>
      <c r="C8" s="5"/>
      <c r="D8" s="5"/>
      <c r="E8" s="5" t="s">
        <v>626</v>
      </c>
      <c r="F8" s="5"/>
      <c r="G8" s="243">
        <v>995</v>
      </c>
      <c r="H8" s="274">
        <f>'Hardware Procurement'!H7</f>
        <v>2</v>
      </c>
      <c r="I8" s="275">
        <f>'Thin Hardware Procurement'!G6</f>
        <v>4</v>
      </c>
      <c r="J8" s="281">
        <f>'Citrix Hardware Procurement'!G6</f>
        <v>38.46153846153846</v>
      </c>
      <c r="K8" s="6"/>
      <c r="L8" s="301"/>
      <c r="M8" s="301"/>
      <c r="N8" s="301"/>
      <c r="O8" s="301"/>
      <c r="P8" s="301"/>
    </row>
    <row r="9" spans="1:16" ht="12.75">
      <c r="A9" s="301"/>
      <c r="B9" s="4"/>
      <c r="C9" s="5"/>
      <c r="D9" s="5"/>
      <c r="E9" s="5" t="s">
        <v>76</v>
      </c>
      <c r="F9" s="5"/>
      <c r="G9" s="243">
        <v>0</v>
      </c>
      <c r="H9" s="274">
        <v>0</v>
      </c>
      <c r="I9" s="276">
        <v>0</v>
      </c>
      <c r="J9" s="280">
        <v>0</v>
      </c>
      <c r="K9" s="6"/>
      <c r="L9" s="301"/>
      <c r="M9" s="301"/>
      <c r="N9" s="301"/>
      <c r="O9" s="301"/>
      <c r="P9" s="301"/>
    </row>
    <row r="10" spans="1:16" ht="12.75">
      <c r="A10" s="301"/>
      <c r="B10" s="4"/>
      <c r="C10" s="5"/>
      <c r="D10" s="5"/>
      <c r="E10" s="5" t="s">
        <v>65</v>
      </c>
      <c r="F10" s="5"/>
      <c r="G10" s="243">
        <v>0</v>
      </c>
      <c r="H10" s="274">
        <v>0</v>
      </c>
      <c r="I10" s="276">
        <v>0</v>
      </c>
      <c r="J10" s="280">
        <v>0</v>
      </c>
      <c r="K10" s="6"/>
      <c r="L10" s="301"/>
      <c r="M10" s="301"/>
      <c r="N10" s="301"/>
      <c r="O10" s="301"/>
      <c r="P10" s="301"/>
    </row>
    <row r="11" spans="1:16" ht="12.75">
      <c r="A11" s="301"/>
      <c r="B11" s="4"/>
      <c r="C11" s="5"/>
      <c r="D11" s="5"/>
      <c r="E11" s="5" t="s">
        <v>77</v>
      </c>
      <c r="F11" s="5"/>
      <c r="G11" s="243">
        <v>0</v>
      </c>
      <c r="H11" s="274">
        <v>0</v>
      </c>
      <c r="I11" s="276">
        <v>0</v>
      </c>
      <c r="J11" s="280">
        <v>0</v>
      </c>
      <c r="K11" s="6"/>
      <c r="L11" s="301"/>
      <c r="M11" s="301"/>
      <c r="N11" s="301"/>
      <c r="O11" s="301"/>
      <c r="P11" s="301"/>
    </row>
    <row r="12" spans="1:16" ht="12.75">
      <c r="A12" s="301"/>
      <c r="B12" s="4"/>
      <c r="C12" s="5"/>
      <c r="D12" s="5"/>
      <c r="E12" s="5" t="s">
        <v>78</v>
      </c>
      <c r="F12" s="5"/>
      <c r="G12" s="243">
        <v>0</v>
      </c>
      <c r="H12" s="274">
        <v>0</v>
      </c>
      <c r="I12" s="276">
        <v>0</v>
      </c>
      <c r="J12" s="280">
        <v>0</v>
      </c>
      <c r="K12" s="6"/>
      <c r="L12" s="301"/>
      <c r="M12" s="301"/>
      <c r="N12" s="301"/>
      <c r="O12" s="301"/>
      <c r="P12" s="301"/>
    </row>
    <row r="13" spans="1:16" ht="12.75">
      <c r="A13" s="301"/>
      <c r="B13" s="4"/>
      <c r="C13" s="5"/>
      <c r="D13" s="5"/>
      <c r="E13" s="5" t="s">
        <v>25</v>
      </c>
      <c r="F13" s="5"/>
      <c r="G13" s="243">
        <v>0</v>
      </c>
      <c r="H13" s="274">
        <v>0</v>
      </c>
      <c r="I13" s="276">
        <v>0</v>
      </c>
      <c r="J13" s="280">
        <v>0</v>
      </c>
      <c r="K13" s="6"/>
      <c r="L13" s="301"/>
      <c r="M13" s="301"/>
      <c r="N13" s="301"/>
      <c r="O13" s="301"/>
      <c r="P13" s="301"/>
    </row>
    <row r="14" spans="1:16" ht="12.75">
      <c r="A14" s="301"/>
      <c r="B14" s="4"/>
      <c r="C14" s="5"/>
      <c r="D14" s="5"/>
      <c r="E14" s="5"/>
      <c r="F14" s="5"/>
      <c r="G14" s="31"/>
      <c r="H14" s="5"/>
      <c r="I14" s="5"/>
      <c r="J14" s="5"/>
      <c r="K14" s="6"/>
      <c r="L14" s="301"/>
      <c r="M14" s="301"/>
      <c r="N14" s="301"/>
      <c r="O14" s="301"/>
      <c r="P14" s="301"/>
    </row>
    <row r="15" spans="1:16" ht="12.75">
      <c r="A15" s="301"/>
      <c r="B15" s="4"/>
      <c r="C15" s="15"/>
      <c r="D15" s="15" t="s">
        <v>546</v>
      </c>
      <c r="E15" s="15"/>
      <c r="F15" s="5"/>
      <c r="G15" s="55"/>
      <c r="H15" s="5"/>
      <c r="I15" s="5"/>
      <c r="J15" s="5"/>
      <c r="K15" s="6"/>
      <c r="L15" s="301"/>
      <c r="M15" s="301"/>
      <c r="N15" s="301"/>
      <c r="O15" s="301"/>
      <c r="P15" s="301"/>
    </row>
    <row r="16" spans="1:16" ht="12.75">
      <c r="A16" s="301"/>
      <c r="B16" s="4"/>
      <c r="C16" s="5"/>
      <c r="D16" s="5"/>
      <c r="E16" s="5" t="s">
        <v>79</v>
      </c>
      <c r="F16" s="5"/>
      <c r="G16" s="243">
        <v>495</v>
      </c>
      <c r="H16" s="274">
        <v>2</v>
      </c>
      <c r="I16" s="276">
        <v>2</v>
      </c>
      <c r="J16" s="280">
        <v>2</v>
      </c>
      <c r="K16" s="6"/>
      <c r="L16" s="301"/>
      <c r="M16" s="301"/>
      <c r="N16" s="301"/>
      <c r="O16" s="301"/>
      <c r="P16" s="301"/>
    </row>
    <row r="17" spans="1:16" ht="12.75">
      <c r="A17" s="301"/>
      <c r="B17" s="4"/>
      <c r="C17" s="5"/>
      <c r="D17" s="5"/>
      <c r="E17" s="5" t="s">
        <v>68</v>
      </c>
      <c r="F17" s="5"/>
      <c r="G17" s="243">
        <v>49</v>
      </c>
      <c r="H17" s="274">
        <f>H8</f>
        <v>2</v>
      </c>
      <c r="I17" s="275">
        <f>I8</f>
        <v>4</v>
      </c>
      <c r="J17" s="284">
        <f>J8</f>
        <v>38.46153846153846</v>
      </c>
      <c r="K17" s="6"/>
      <c r="L17" s="301"/>
      <c r="M17" s="301"/>
      <c r="N17" s="301"/>
      <c r="O17" s="301"/>
      <c r="P17" s="301"/>
    </row>
    <row r="18" spans="1:16" ht="12.75">
      <c r="A18" s="301"/>
      <c r="B18" s="4"/>
      <c r="C18" s="5"/>
      <c r="D18" s="5"/>
      <c r="E18" s="5" t="s">
        <v>25</v>
      </c>
      <c r="F18" s="5"/>
      <c r="G18" s="243">
        <v>0</v>
      </c>
      <c r="H18" s="274">
        <v>0</v>
      </c>
      <c r="I18" s="276">
        <v>0</v>
      </c>
      <c r="J18" s="280">
        <v>0</v>
      </c>
      <c r="K18" s="6"/>
      <c r="L18" s="301"/>
      <c r="M18" s="301"/>
      <c r="N18" s="301"/>
      <c r="O18" s="301"/>
      <c r="P18" s="301"/>
    </row>
    <row r="19" spans="1:16" ht="12.75">
      <c r="A19" s="301"/>
      <c r="B19" s="4"/>
      <c r="C19" s="5"/>
      <c r="D19" s="5"/>
      <c r="E19" s="5"/>
      <c r="F19" s="5"/>
      <c r="G19" s="31"/>
      <c r="H19" s="5"/>
      <c r="I19" s="5"/>
      <c r="J19" s="5"/>
      <c r="K19" s="6"/>
      <c r="L19" s="301"/>
      <c r="M19" s="301"/>
      <c r="N19" s="301"/>
      <c r="O19" s="301"/>
      <c r="P19" s="301"/>
    </row>
    <row r="20" spans="1:16" ht="12.75">
      <c r="A20" s="301"/>
      <c r="B20" s="4"/>
      <c r="C20" s="15"/>
      <c r="D20" s="15" t="s">
        <v>547</v>
      </c>
      <c r="E20" s="15"/>
      <c r="F20" s="5"/>
      <c r="G20" s="31"/>
      <c r="H20" s="5"/>
      <c r="I20" s="5"/>
      <c r="J20" s="5"/>
      <c r="K20" s="6"/>
      <c r="L20" s="301"/>
      <c r="M20" s="301"/>
      <c r="N20" s="301"/>
      <c r="O20" s="301"/>
      <c r="P20" s="301"/>
    </row>
    <row r="21" spans="1:16" ht="12.75">
      <c r="A21" s="301"/>
      <c r="B21" s="4"/>
      <c r="C21" s="5"/>
      <c r="D21" s="5"/>
      <c r="E21" s="5" t="s">
        <v>80</v>
      </c>
      <c r="F21" s="5"/>
      <c r="G21" s="243">
        <v>150</v>
      </c>
      <c r="H21" s="273">
        <f>'Front End'!G3</f>
        <v>2500</v>
      </c>
      <c r="I21" s="275">
        <f>'Front End'!G3</f>
        <v>2500</v>
      </c>
      <c r="J21" s="279">
        <f>'Front End'!G3</f>
        <v>2500</v>
      </c>
      <c r="K21" s="6"/>
      <c r="L21" s="301"/>
      <c r="M21" s="301"/>
      <c r="N21" s="301"/>
      <c r="O21" s="301"/>
      <c r="P21" s="301"/>
    </row>
    <row r="22" spans="1:16" ht="12.75">
      <c r="A22" s="301"/>
      <c r="B22" s="4"/>
      <c r="C22" s="5"/>
      <c r="D22" s="5"/>
      <c r="E22" s="5" t="s">
        <v>81</v>
      </c>
      <c r="F22" s="5"/>
      <c r="G22" s="243">
        <v>2500</v>
      </c>
      <c r="H22" s="274">
        <v>1</v>
      </c>
      <c r="I22" s="276">
        <v>1</v>
      </c>
      <c r="J22" s="280">
        <v>1</v>
      </c>
      <c r="K22" s="6"/>
      <c r="L22" s="301"/>
      <c r="M22" s="301"/>
      <c r="N22" s="301"/>
      <c r="O22" s="301"/>
      <c r="P22" s="301"/>
    </row>
    <row r="23" spans="1:16" ht="12.75">
      <c r="A23" s="301"/>
      <c r="B23" s="4"/>
      <c r="C23" s="5"/>
      <c r="D23" s="5"/>
      <c r="E23" s="5" t="s">
        <v>82</v>
      </c>
      <c r="F23" s="5"/>
      <c r="G23" s="243">
        <v>0</v>
      </c>
      <c r="H23" s="274">
        <v>0</v>
      </c>
      <c r="I23" s="276">
        <v>0</v>
      </c>
      <c r="J23" s="280">
        <v>0</v>
      </c>
      <c r="K23" s="6"/>
      <c r="L23" s="301"/>
      <c r="M23" s="301"/>
      <c r="N23" s="301"/>
      <c r="O23" s="301"/>
      <c r="P23" s="301"/>
    </row>
    <row r="24" spans="1:16" ht="12.75">
      <c r="A24" s="301"/>
      <c r="B24" s="4"/>
      <c r="C24" s="5"/>
      <c r="D24" s="5"/>
      <c r="E24" s="5" t="s">
        <v>173</v>
      </c>
      <c r="F24" s="5"/>
      <c r="G24" s="243">
        <v>0</v>
      </c>
      <c r="H24" s="274">
        <v>0</v>
      </c>
      <c r="I24" s="276">
        <v>0</v>
      </c>
      <c r="J24" s="280">
        <v>0</v>
      </c>
      <c r="K24" s="6"/>
      <c r="L24" s="301"/>
      <c r="M24" s="301"/>
      <c r="N24" s="301"/>
      <c r="O24" s="301"/>
      <c r="P24" s="301"/>
    </row>
    <row r="25" spans="1:16" ht="12.75">
      <c r="A25" s="301"/>
      <c r="B25" s="4"/>
      <c r="C25" s="5"/>
      <c r="D25" s="5"/>
      <c r="E25" s="5" t="s">
        <v>174</v>
      </c>
      <c r="F25" s="5"/>
      <c r="G25" s="243">
        <v>0</v>
      </c>
      <c r="H25" s="274">
        <v>0</v>
      </c>
      <c r="I25" s="276">
        <v>0</v>
      </c>
      <c r="J25" s="280">
        <v>0</v>
      </c>
      <c r="K25" s="6"/>
      <c r="L25" s="301"/>
      <c r="M25" s="301"/>
      <c r="N25" s="301"/>
      <c r="O25" s="301"/>
      <c r="P25" s="301"/>
    </row>
    <row r="26" spans="1:16" ht="12.75">
      <c r="A26" s="301"/>
      <c r="B26" s="4"/>
      <c r="C26" s="5"/>
      <c r="D26" s="5"/>
      <c r="E26" s="5" t="s">
        <v>83</v>
      </c>
      <c r="F26" s="5"/>
      <c r="G26" s="243">
        <v>3500</v>
      </c>
      <c r="H26" s="274">
        <v>0</v>
      </c>
      <c r="I26" s="276">
        <v>0</v>
      </c>
      <c r="J26" s="280">
        <v>0</v>
      </c>
      <c r="K26" s="6"/>
      <c r="L26" s="301"/>
      <c r="M26" s="301"/>
      <c r="N26" s="301"/>
      <c r="O26" s="301"/>
      <c r="P26" s="301"/>
    </row>
    <row r="27" spans="1:16" ht="12.75">
      <c r="A27" s="301"/>
      <c r="B27" s="4"/>
      <c r="C27" s="5"/>
      <c r="D27" s="5"/>
      <c r="E27" s="5" t="s">
        <v>570</v>
      </c>
      <c r="F27" s="5"/>
      <c r="G27" s="243">
        <v>23080</v>
      </c>
      <c r="H27" s="274">
        <v>0</v>
      </c>
      <c r="I27" s="276">
        <v>0</v>
      </c>
      <c r="J27" s="284">
        <f>J8</f>
        <v>38.46153846153846</v>
      </c>
      <c r="K27" s="6"/>
      <c r="L27" s="301"/>
      <c r="M27" s="301"/>
      <c r="N27" s="301"/>
      <c r="O27" s="301"/>
      <c r="P27" s="301"/>
    </row>
    <row r="28" spans="1:16" ht="12.75">
      <c r="A28" s="301"/>
      <c r="B28" s="4"/>
      <c r="C28" s="5"/>
      <c r="D28" s="5"/>
      <c r="E28" s="5" t="s">
        <v>84</v>
      </c>
      <c r="F28" s="5"/>
      <c r="G28" s="243">
        <v>3500</v>
      </c>
      <c r="H28" s="274">
        <v>1</v>
      </c>
      <c r="I28" s="276">
        <v>1</v>
      </c>
      <c r="J28" s="280">
        <v>1</v>
      </c>
      <c r="K28" s="6"/>
      <c r="L28" s="301"/>
      <c r="M28" s="301"/>
      <c r="N28" s="301"/>
      <c r="O28" s="301"/>
      <c r="P28" s="301"/>
    </row>
    <row r="29" spans="1:16" ht="12.75">
      <c r="A29" s="301"/>
      <c r="B29" s="4"/>
      <c r="C29" s="5"/>
      <c r="D29" s="5"/>
      <c r="E29" s="5" t="s">
        <v>25</v>
      </c>
      <c r="F29" s="17"/>
      <c r="G29" s="243">
        <v>0</v>
      </c>
      <c r="H29" s="274">
        <v>0</v>
      </c>
      <c r="I29" s="276">
        <v>0</v>
      </c>
      <c r="J29" s="280">
        <v>0</v>
      </c>
      <c r="K29" s="6"/>
      <c r="L29" s="301"/>
      <c r="M29" s="301"/>
      <c r="N29" s="301"/>
      <c r="O29" s="301"/>
      <c r="P29" s="301"/>
    </row>
    <row r="30" spans="1:16" ht="13.5" thickBot="1">
      <c r="A30" s="301"/>
      <c r="B30" s="7"/>
      <c r="C30" s="8"/>
      <c r="D30" s="8"/>
      <c r="E30" s="8"/>
      <c r="F30" s="8"/>
      <c r="G30" s="8"/>
      <c r="H30" s="8"/>
      <c r="I30" s="8"/>
      <c r="J30" s="8"/>
      <c r="K30" s="9"/>
      <c r="L30" s="301"/>
      <c r="M30" s="301"/>
      <c r="N30" s="301"/>
      <c r="O30" s="301"/>
      <c r="P30" s="301"/>
    </row>
    <row r="31" spans="1:16" ht="13.5" thickTop="1">
      <c r="A31" s="301"/>
      <c r="B31" s="301"/>
      <c r="C31" s="301"/>
      <c r="D31" s="301"/>
      <c r="E31" s="301"/>
      <c r="F31" s="301"/>
      <c r="G31" s="301"/>
      <c r="H31" s="301"/>
      <c r="I31" s="301"/>
      <c r="J31" s="301"/>
      <c r="K31" s="301"/>
      <c r="L31" s="301"/>
      <c r="M31" s="301"/>
      <c r="N31" s="301"/>
      <c r="O31" s="301"/>
      <c r="P31" s="301"/>
    </row>
    <row r="32" spans="1:16" ht="12.75">
      <c r="A32" s="301"/>
      <c r="B32" s="301"/>
      <c r="C32" s="301"/>
      <c r="D32" s="301"/>
      <c r="E32" s="301"/>
      <c r="F32" s="301"/>
      <c r="G32" s="301"/>
      <c r="H32" s="301"/>
      <c r="I32" s="301"/>
      <c r="J32" s="301"/>
      <c r="K32" s="301"/>
      <c r="L32" s="301"/>
      <c r="M32" s="301"/>
      <c r="N32" s="301"/>
      <c r="O32" s="301"/>
      <c r="P32" s="301"/>
    </row>
    <row r="33" spans="1:16" ht="12.75">
      <c r="A33" s="301"/>
      <c r="B33" s="301"/>
      <c r="C33" s="301"/>
      <c r="D33" s="301"/>
      <c r="E33" s="301"/>
      <c r="F33" s="301"/>
      <c r="G33" s="301"/>
      <c r="H33" s="301"/>
      <c r="I33" s="301"/>
      <c r="J33" s="301"/>
      <c r="K33" s="301"/>
      <c r="L33" s="301"/>
      <c r="M33" s="301"/>
      <c r="N33" s="301"/>
      <c r="O33" s="301"/>
      <c r="P33" s="301"/>
    </row>
    <row r="34" spans="1:16" ht="12.75">
      <c r="A34" s="301"/>
      <c r="B34" s="301"/>
      <c r="C34" s="301"/>
      <c r="D34" s="301"/>
      <c r="E34" s="301"/>
      <c r="F34" s="301"/>
      <c r="G34" s="301"/>
      <c r="H34" s="301"/>
      <c r="I34" s="301"/>
      <c r="J34" s="301"/>
      <c r="K34" s="301"/>
      <c r="L34" s="301"/>
      <c r="M34" s="301"/>
      <c r="N34" s="301"/>
      <c r="O34" s="301"/>
      <c r="P34" s="301"/>
    </row>
    <row r="35" spans="1:16" ht="12.75">
      <c r="A35" s="301"/>
      <c r="B35" s="301"/>
      <c r="C35" s="301"/>
      <c r="D35" s="301"/>
      <c r="E35" s="301"/>
      <c r="F35" s="301"/>
      <c r="G35" s="301"/>
      <c r="H35" s="301"/>
      <c r="I35" s="301"/>
      <c r="J35" s="301"/>
      <c r="K35" s="301"/>
      <c r="L35" s="301"/>
      <c r="M35" s="301"/>
      <c r="N35" s="301"/>
      <c r="O35" s="301"/>
      <c r="P35" s="301"/>
    </row>
    <row r="36" spans="1:16" ht="12.75">
      <c r="A36" s="301"/>
      <c r="B36" s="301"/>
      <c r="C36" s="301"/>
      <c r="D36" s="301"/>
      <c r="E36" s="301"/>
      <c r="F36" s="301"/>
      <c r="G36" s="301"/>
      <c r="H36" s="301"/>
      <c r="I36" s="301"/>
      <c r="J36" s="301"/>
      <c r="K36" s="301"/>
      <c r="L36" s="301"/>
      <c r="M36" s="301"/>
      <c r="N36" s="301"/>
      <c r="O36" s="301"/>
      <c r="P36" s="301"/>
    </row>
    <row r="37" spans="1:16" ht="12.75">
      <c r="A37" s="301"/>
      <c r="B37" s="301"/>
      <c r="C37" s="301"/>
      <c r="D37" s="301"/>
      <c r="E37" s="301"/>
      <c r="F37" s="301"/>
      <c r="G37" s="301"/>
      <c r="H37" s="301"/>
      <c r="I37" s="301"/>
      <c r="J37" s="301"/>
      <c r="K37" s="301"/>
      <c r="L37" s="301"/>
      <c r="M37" s="301"/>
      <c r="N37" s="301"/>
      <c r="O37" s="301"/>
      <c r="P37" s="301"/>
    </row>
    <row r="38" spans="1:16" ht="12.75">
      <c r="A38" s="301"/>
      <c r="B38" s="301"/>
      <c r="C38" s="301"/>
      <c r="D38" s="301"/>
      <c r="E38" s="301"/>
      <c r="F38" s="301"/>
      <c r="G38" s="301"/>
      <c r="H38" s="301"/>
      <c r="I38" s="301"/>
      <c r="J38" s="301"/>
      <c r="K38" s="301"/>
      <c r="L38" s="301"/>
      <c r="M38" s="301"/>
      <c r="N38" s="301"/>
      <c r="O38" s="301"/>
      <c r="P38" s="301"/>
    </row>
    <row r="39" spans="1:16" ht="12.75">
      <c r="A39" s="301"/>
      <c r="B39" s="301"/>
      <c r="C39" s="301"/>
      <c r="D39" s="301"/>
      <c r="E39" s="301"/>
      <c r="F39" s="301"/>
      <c r="G39" s="301"/>
      <c r="H39" s="301"/>
      <c r="I39" s="301"/>
      <c r="J39" s="301"/>
      <c r="K39" s="301"/>
      <c r="L39" s="301"/>
      <c r="M39" s="301"/>
      <c r="N39" s="301"/>
      <c r="O39" s="301"/>
      <c r="P39" s="301"/>
    </row>
  </sheetData>
  <sheetProtection password="D387" sheet="1" objects="1" scenarios="1"/>
  <mergeCells count="1">
    <mergeCell ref="H6:J6"/>
  </mergeCells>
  <printOptions/>
  <pageMargins left="0.75" right="0.75" top="1" bottom="1" header="0.5" footer="0.5"/>
  <pageSetup fitToHeight="1" fitToWidth="1" horizontalDpi="600" verticalDpi="600" orientation="portrait" scale="88" r:id="rId3"/>
  <headerFooter alignWithMargins="0">
    <oddHeader>&amp;CTotal Cost of Application Ownership (TCA) Calculator</oddHeader>
    <oddFooter>&amp;LThe Tolly Group TCA Calculator
&amp;P&amp;D&amp;T&amp;R© The Tolly Group, 1999</oddFooter>
  </headerFooter>
  <legacyDrawing r:id="rId2"/>
</worksheet>
</file>

<file path=xl/worksheets/sheet7.xml><?xml version="1.0" encoding="utf-8"?>
<worksheet xmlns="http://schemas.openxmlformats.org/spreadsheetml/2006/main" xmlns:r="http://schemas.openxmlformats.org/officeDocument/2006/relationships">
  <sheetPr codeName="Sheet72">
    <pageSetUpPr fitToPage="1"/>
  </sheetPr>
  <dimension ref="A1:Q33"/>
  <sheetViews>
    <sheetView showRowColHeaders="0" workbookViewId="0" topLeftCell="A1">
      <selection activeCell="A1" sqref="A1"/>
    </sheetView>
  </sheetViews>
  <sheetFormatPr defaultColWidth="9.140625" defaultRowHeight="12.75"/>
  <sheetData>
    <row r="1" spans="1:17" ht="13.5" thickBot="1">
      <c r="A1" s="301"/>
      <c r="B1" s="301"/>
      <c r="C1" s="301"/>
      <c r="D1" s="301"/>
      <c r="E1" s="301"/>
      <c r="F1" s="301"/>
      <c r="G1" s="301"/>
      <c r="H1" s="301"/>
      <c r="I1" s="301"/>
      <c r="J1" s="301"/>
      <c r="K1" s="301"/>
      <c r="L1" s="301"/>
      <c r="M1" s="301"/>
      <c r="N1" s="301"/>
      <c r="O1" s="301"/>
      <c r="P1" s="301"/>
      <c r="Q1" s="301"/>
    </row>
    <row r="2" spans="1:17" ht="15.75" thickTop="1">
      <c r="A2" s="301"/>
      <c r="B2" s="34" t="s">
        <v>192</v>
      </c>
      <c r="C2" s="3"/>
      <c r="D2" s="3"/>
      <c r="E2" s="3"/>
      <c r="F2" s="3"/>
      <c r="G2" s="3"/>
      <c r="H2" s="3"/>
      <c r="I2" s="3"/>
      <c r="J2" s="13"/>
      <c r="K2" s="301"/>
      <c r="L2" s="301"/>
      <c r="M2" s="301"/>
      <c r="N2" s="301"/>
      <c r="O2" s="301"/>
      <c r="P2" s="301"/>
      <c r="Q2" s="301"/>
    </row>
    <row r="3" spans="1:17" ht="12.75">
      <c r="A3" s="301"/>
      <c r="B3" s="4"/>
      <c r="C3" s="5"/>
      <c r="D3" s="5"/>
      <c r="E3" s="5"/>
      <c r="F3" s="5"/>
      <c r="G3" s="5"/>
      <c r="H3" s="5"/>
      <c r="I3" s="5"/>
      <c r="J3" s="6"/>
      <c r="K3" s="301"/>
      <c r="L3" s="301"/>
      <c r="M3" s="301"/>
      <c r="N3" s="301"/>
      <c r="O3" s="301"/>
      <c r="P3" s="301"/>
      <c r="Q3" s="301"/>
    </row>
    <row r="4" spans="1:17" ht="15.75">
      <c r="A4" s="301"/>
      <c r="B4" s="4"/>
      <c r="C4" s="30" t="s">
        <v>617</v>
      </c>
      <c r="D4" s="5"/>
      <c r="E4" s="5"/>
      <c r="F4" s="5"/>
      <c r="G4" s="353" t="s">
        <v>50</v>
      </c>
      <c r="H4" s="353"/>
      <c r="I4" s="353"/>
      <c r="J4" s="6"/>
      <c r="K4" s="301"/>
      <c r="L4" s="301"/>
      <c r="M4" s="301"/>
      <c r="N4" s="301"/>
      <c r="O4" s="301"/>
      <c r="P4" s="301"/>
      <c r="Q4" s="301"/>
    </row>
    <row r="5" spans="1:17" ht="38.25">
      <c r="A5" s="301"/>
      <c r="B5" s="4"/>
      <c r="C5" s="5"/>
      <c r="D5" s="5"/>
      <c r="E5" s="5"/>
      <c r="F5" s="5"/>
      <c r="G5" s="272" t="s">
        <v>534</v>
      </c>
      <c r="H5" s="277" t="s">
        <v>533</v>
      </c>
      <c r="I5" s="278" t="s">
        <v>535</v>
      </c>
      <c r="J5" s="6"/>
      <c r="K5" s="301"/>
      <c r="L5" s="301"/>
      <c r="M5" s="301"/>
      <c r="N5" s="301"/>
      <c r="O5" s="301"/>
      <c r="P5" s="301"/>
      <c r="Q5" s="301"/>
    </row>
    <row r="6" spans="1:17" ht="12.75">
      <c r="A6" s="301"/>
      <c r="B6" s="4"/>
      <c r="C6" s="5" t="s">
        <v>86</v>
      </c>
      <c r="D6" s="5"/>
      <c r="E6" s="5"/>
      <c r="F6" s="5"/>
      <c r="G6" s="274">
        <v>20</v>
      </c>
      <c r="H6" s="276">
        <v>40</v>
      </c>
      <c r="I6" s="280">
        <v>10</v>
      </c>
      <c r="J6" s="6"/>
      <c r="K6" s="301"/>
      <c r="L6" s="301"/>
      <c r="M6" s="301"/>
      <c r="N6" s="301"/>
      <c r="O6" s="301"/>
      <c r="P6" s="301"/>
      <c r="Q6" s="301"/>
    </row>
    <row r="7" spans="1:17" ht="12.75">
      <c r="A7" s="301"/>
      <c r="B7" s="4"/>
      <c r="C7" s="5" t="s">
        <v>87</v>
      </c>
      <c r="D7" s="5"/>
      <c r="E7" s="5"/>
      <c r="F7" s="5"/>
      <c r="G7" s="274">
        <v>40</v>
      </c>
      <c r="H7" s="276">
        <v>80</v>
      </c>
      <c r="I7" s="280">
        <v>20</v>
      </c>
      <c r="J7" s="6"/>
      <c r="K7" s="301"/>
      <c r="L7" s="301"/>
      <c r="M7" s="301"/>
      <c r="N7" s="301"/>
      <c r="O7" s="301"/>
      <c r="P7" s="301"/>
      <c r="Q7" s="301"/>
    </row>
    <row r="8" spans="1:17" ht="12.75">
      <c r="A8" s="301"/>
      <c r="B8" s="4"/>
      <c r="C8" s="5" t="s">
        <v>88</v>
      </c>
      <c r="D8" s="5"/>
      <c r="E8" s="5"/>
      <c r="F8" s="5"/>
      <c r="G8" s="274">
        <v>15</v>
      </c>
      <c r="H8" s="276">
        <v>40</v>
      </c>
      <c r="I8" s="280">
        <v>10</v>
      </c>
      <c r="J8" s="6"/>
      <c r="K8" s="301"/>
      <c r="L8" s="301"/>
      <c r="M8" s="301"/>
      <c r="N8" s="301"/>
      <c r="O8" s="301"/>
      <c r="P8" s="301"/>
      <c r="Q8" s="301"/>
    </row>
    <row r="9" spans="1:17" ht="12.75">
      <c r="A9" s="301"/>
      <c r="B9" s="4"/>
      <c r="C9" s="5" t="s">
        <v>89</v>
      </c>
      <c r="D9" s="5"/>
      <c r="E9" s="5"/>
      <c r="F9" s="17"/>
      <c r="G9" s="274">
        <v>20</v>
      </c>
      <c r="H9" s="276">
        <v>20</v>
      </c>
      <c r="I9" s="280">
        <v>8</v>
      </c>
      <c r="J9" s="6"/>
      <c r="K9" s="301"/>
      <c r="L9" s="301"/>
      <c r="M9" s="301"/>
      <c r="N9" s="301"/>
      <c r="O9" s="301"/>
      <c r="P9" s="301"/>
      <c r="Q9" s="301"/>
    </row>
    <row r="10" spans="1:17" ht="12.75">
      <c r="A10" s="301"/>
      <c r="B10" s="4"/>
      <c r="C10" s="5"/>
      <c r="D10" s="5"/>
      <c r="E10" s="5"/>
      <c r="F10" s="5"/>
      <c r="G10" s="5"/>
      <c r="H10" s="5"/>
      <c r="I10" s="5"/>
      <c r="J10" s="6"/>
      <c r="K10" s="301"/>
      <c r="L10" s="301"/>
      <c r="M10" s="301"/>
      <c r="N10" s="301"/>
      <c r="O10" s="301"/>
      <c r="P10" s="301"/>
      <c r="Q10" s="301"/>
    </row>
    <row r="11" spans="1:17" ht="12.75">
      <c r="A11" s="301"/>
      <c r="B11" s="4"/>
      <c r="C11" s="5" t="s">
        <v>90</v>
      </c>
      <c r="D11" s="5"/>
      <c r="E11" s="5"/>
      <c r="F11" s="5"/>
      <c r="G11" s="5"/>
      <c r="H11" s="5"/>
      <c r="I11" s="5"/>
      <c r="J11" s="6"/>
      <c r="K11" s="301"/>
      <c r="L11" s="301"/>
      <c r="M11" s="301"/>
      <c r="N11" s="301"/>
      <c r="O11" s="301"/>
      <c r="P11" s="301"/>
      <c r="Q11" s="301"/>
    </row>
    <row r="12" spans="1:17" ht="12.75">
      <c r="A12" s="301"/>
      <c r="B12" s="4"/>
      <c r="C12" s="5"/>
      <c r="D12" s="5" t="s">
        <v>91</v>
      </c>
      <c r="E12" s="5"/>
      <c r="F12" s="5"/>
      <c r="G12" s="243">
        <v>40</v>
      </c>
      <c r="H12" s="95"/>
      <c r="I12" s="95"/>
      <c r="J12" s="6"/>
      <c r="K12" s="301"/>
      <c r="L12" s="301"/>
      <c r="M12" s="301"/>
      <c r="N12" s="301"/>
      <c r="O12" s="301"/>
      <c r="P12" s="301"/>
      <c r="Q12" s="301"/>
    </row>
    <row r="13" spans="1:17" ht="12.75">
      <c r="A13" s="301"/>
      <c r="B13" s="4"/>
      <c r="C13" s="5"/>
      <c r="D13" s="5" t="s">
        <v>92</v>
      </c>
      <c r="E13" s="5"/>
      <c r="F13" s="5"/>
      <c r="G13" s="243">
        <v>150</v>
      </c>
      <c r="H13" s="95"/>
      <c r="I13" s="95"/>
      <c r="J13" s="6"/>
      <c r="K13" s="301"/>
      <c r="L13" s="301"/>
      <c r="M13" s="301"/>
      <c r="N13" s="301"/>
      <c r="O13" s="301"/>
      <c r="P13" s="301"/>
      <c r="Q13" s="301"/>
    </row>
    <row r="14" spans="1:17" ht="12.75">
      <c r="A14" s="301"/>
      <c r="B14" s="4"/>
      <c r="C14" s="5"/>
      <c r="D14" s="5" t="s">
        <v>93</v>
      </c>
      <c r="E14" s="5"/>
      <c r="F14" s="17"/>
      <c r="G14" s="243">
        <v>0</v>
      </c>
      <c r="H14" s="95"/>
      <c r="I14" s="95"/>
      <c r="J14" s="6"/>
      <c r="K14" s="301"/>
      <c r="L14" s="301"/>
      <c r="M14" s="301"/>
      <c r="N14" s="301"/>
      <c r="O14" s="301"/>
      <c r="P14" s="301"/>
      <c r="Q14" s="301"/>
    </row>
    <row r="15" spans="1:17" ht="13.5" thickBot="1">
      <c r="A15" s="301"/>
      <c r="B15" s="7"/>
      <c r="C15" s="8"/>
      <c r="D15" s="8"/>
      <c r="E15" s="8"/>
      <c r="F15" s="8"/>
      <c r="G15" s="8"/>
      <c r="H15" s="8"/>
      <c r="I15" s="8"/>
      <c r="J15" s="9"/>
      <c r="K15" s="301"/>
      <c r="L15" s="301"/>
      <c r="M15" s="301"/>
      <c r="N15" s="301"/>
      <c r="O15" s="301"/>
      <c r="P15" s="301"/>
      <c r="Q15" s="301"/>
    </row>
    <row r="16" spans="1:17" ht="13.5" thickTop="1">
      <c r="A16" s="301"/>
      <c r="B16" s="301"/>
      <c r="C16" s="301"/>
      <c r="D16" s="301"/>
      <c r="E16" s="301"/>
      <c r="F16" s="301"/>
      <c r="G16" s="301"/>
      <c r="H16" s="301"/>
      <c r="I16" s="301"/>
      <c r="J16" s="301"/>
      <c r="K16" s="301"/>
      <c r="L16" s="301"/>
      <c r="M16" s="301"/>
      <c r="N16" s="301"/>
      <c r="O16" s="301"/>
      <c r="P16" s="301"/>
      <c r="Q16" s="301"/>
    </row>
    <row r="17" spans="1:17" ht="12.75">
      <c r="A17" s="301"/>
      <c r="B17" s="301"/>
      <c r="C17" s="301"/>
      <c r="D17" s="301"/>
      <c r="E17" s="301"/>
      <c r="F17" s="301"/>
      <c r="G17" s="301"/>
      <c r="H17" s="301"/>
      <c r="I17" s="301"/>
      <c r="J17" s="301"/>
      <c r="K17" s="301"/>
      <c r="L17" s="301"/>
      <c r="M17" s="301"/>
      <c r="N17" s="301"/>
      <c r="O17" s="301"/>
      <c r="P17" s="301"/>
      <c r="Q17" s="301"/>
    </row>
    <row r="18" spans="1:17" ht="12.75">
      <c r="A18" s="301"/>
      <c r="B18" s="301"/>
      <c r="C18" s="301"/>
      <c r="D18" s="301"/>
      <c r="E18" s="301"/>
      <c r="F18" s="301"/>
      <c r="G18" s="301"/>
      <c r="H18" s="301"/>
      <c r="I18" s="301"/>
      <c r="J18" s="301"/>
      <c r="K18" s="301"/>
      <c r="L18" s="301"/>
      <c r="M18" s="301"/>
      <c r="N18" s="301"/>
      <c r="O18" s="301"/>
      <c r="P18" s="301"/>
      <c r="Q18" s="301"/>
    </row>
    <row r="19" spans="1:17" ht="12.75">
      <c r="A19" s="301"/>
      <c r="B19" s="301"/>
      <c r="C19" s="301"/>
      <c r="D19" s="301"/>
      <c r="E19" s="301"/>
      <c r="F19" s="301"/>
      <c r="G19" s="301"/>
      <c r="H19" s="301"/>
      <c r="I19" s="301"/>
      <c r="J19" s="301"/>
      <c r="K19" s="301"/>
      <c r="L19" s="301"/>
      <c r="M19" s="301"/>
      <c r="N19" s="301"/>
      <c r="O19" s="301"/>
      <c r="P19" s="301"/>
      <c r="Q19" s="301"/>
    </row>
    <row r="20" spans="1:17" ht="12.75">
      <c r="A20" s="301"/>
      <c r="B20" s="301"/>
      <c r="C20" s="301"/>
      <c r="D20" s="301"/>
      <c r="E20" s="301"/>
      <c r="F20" s="301"/>
      <c r="G20" s="301"/>
      <c r="H20" s="301"/>
      <c r="I20" s="301"/>
      <c r="J20" s="301"/>
      <c r="K20" s="301"/>
      <c r="L20" s="301"/>
      <c r="M20" s="301"/>
      <c r="N20" s="301"/>
      <c r="O20" s="301"/>
      <c r="P20" s="301"/>
      <c r="Q20" s="301"/>
    </row>
    <row r="21" spans="1:17" ht="12.75">
      <c r="A21" s="301"/>
      <c r="B21" s="301"/>
      <c r="C21" s="301"/>
      <c r="D21" s="301"/>
      <c r="E21" s="301"/>
      <c r="F21" s="301"/>
      <c r="G21" s="301"/>
      <c r="H21" s="301"/>
      <c r="I21" s="301"/>
      <c r="J21" s="301"/>
      <c r="K21" s="301"/>
      <c r="L21" s="301"/>
      <c r="M21" s="301"/>
      <c r="N21" s="301"/>
      <c r="O21" s="301"/>
      <c r="P21" s="301"/>
      <c r="Q21" s="301"/>
    </row>
    <row r="22" spans="1:17" ht="12.75">
      <c r="A22" s="301"/>
      <c r="B22" s="301"/>
      <c r="C22" s="301"/>
      <c r="D22" s="301"/>
      <c r="E22" s="301"/>
      <c r="F22" s="301"/>
      <c r="G22" s="301"/>
      <c r="H22" s="301"/>
      <c r="I22" s="301"/>
      <c r="J22" s="301"/>
      <c r="K22" s="301"/>
      <c r="L22" s="301"/>
      <c r="M22" s="301"/>
      <c r="N22" s="301"/>
      <c r="O22" s="301"/>
      <c r="P22" s="301"/>
      <c r="Q22" s="301"/>
    </row>
    <row r="23" spans="1:17" ht="12.75">
      <c r="A23" s="301"/>
      <c r="B23" s="301"/>
      <c r="C23" s="301"/>
      <c r="D23" s="301"/>
      <c r="E23" s="301"/>
      <c r="F23" s="301"/>
      <c r="G23" s="301"/>
      <c r="H23" s="301"/>
      <c r="I23" s="301"/>
      <c r="J23" s="301"/>
      <c r="K23" s="301"/>
      <c r="L23" s="301"/>
      <c r="M23" s="301"/>
      <c r="N23" s="301"/>
      <c r="O23" s="301"/>
      <c r="P23" s="301"/>
      <c r="Q23" s="301"/>
    </row>
    <row r="24" spans="1:17" ht="12.75">
      <c r="A24" s="301"/>
      <c r="B24" s="301"/>
      <c r="C24" s="301"/>
      <c r="D24" s="301"/>
      <c r="E24" s="301"/>
      <c r="F24" s="301"/>
      <c r="G24" s="301"/>
      <c r="H24" s="301"/>
      <c r="I24" s="301"/>
      <c r="J24" s="301"/>
      <c r="K24" s="301"/>
      <c r="L24" s="301"/>
      <c r="M24" s="301"/>
      <c r="N24" s="301"/>
      <c r="O24" s="301"/>
      <c r="P24" s="301"/>
      <c r="Q24" s="301"/>
    </row>
    <row r="25" spans="1:17" ht="12.75">
      <c r="A25" s="301"/>
      <c r="B25" s="301"/>
      <c r="C25" s="301"/>
      <c r="D25" s="301"/>
      <c r="E25" s="301"/>
      <c r="F25" s="301"/>
      <c r="G25" s="301"/>
      <c r="H25" s="301"/>
      <c r="I25" s="301"/>
      <c r="J25" s="301"/>
      <c r="K25" s="301"/>
      <c r="L25" s="301"/>
      <c r="M25" s="301"/>
      <c r="N25" s="301"/>
      <c r="O25" s="301"/>
      <c r="P25" s="301"/>
      <c r="Q25" s="301"/>
    </row>
    <row r="26" spans="1:17" ht="12.75">
      <c r="A26" s="301"/>
      <c r="B26" s="301"/>
      <c r="C26" s="301"/>
      <c r="D26" s="301"/>
      <c r="E26" s="301"/>
      <c r="F26" s="301"/>
      <c r="G26" s="301"/>
      <c r="H26" s="301"/>
      <c r="I26" s="301"/>
      <c r="J26" s="301"/>
      <c r="K26" s="301"/>
      <c r="L26" s="301"/>
      <c r="M26" s="301"/>
      <c r="N26" s="301"/>
      <c r="O26" s="301"/>
      <c r="P26" s="301"/>
      <c r="Q26" s="301"/>
    </row>
    <row r="27" spans="1:17" ht="12.75">
      <c r="A27" s="301"/>
      <c r="B27" s="301"/>
      <c r="C27" s="301"/>
      <c r="D27" s="301"/>
      <c r="E27" s="301"/>
      <c r="F27" s="301"/>
      <c r="G27" s="301"/>
      <c r="H27" s="301"/>
      <c r="I27" s="301"/>
      <c r="J27" s="301"/>
      <c r="K27" s="301"/>
      <c r="L27" s="301"/>
      <c r="M27" s="301"/>
      <c r="N27" s="301"/>
      <c r="O27" s="301"/>
      <c r="P27" s="301"/>
      <c r="Q27" s="301"/>
    </row>
    <row r="28" spans="1:17" ht="12.75">
      <c r="A28" s="301"/>
      <c r="B28" s="301"/>
      <c r="C28" s="301"/>
      <c r="D28" s="301"/>
      <c r="E28" s="301"/>
      <c r="F28" s="301"/>
      <c r="G28" s="301"/>
      <c r="H28" s="301"/>
      <c r="I28" s="301"/>
      <c r="J28" s="301"/>
      <c r="K28" s="301"/>
      <c r="L28" s="301"/>
      <c r="M28" s="301"/>
      <c r="N28" s="301"/>
      <c r="O28" s="301"/>
      <c r="P28" s="301"/>
      <c r="Q28" s="301"/>
    </row>
    <row r="29" spans="1:17" ht="12.75">
      <c r="A29" s="301"/>
      <c r="B29" s="301"/>
      <c r="C29" s="301"/>
      <c r="D29" s="301"/>
      <c r="E29" s="301"/>
      <c r="F29" s="301"/>
      <c r="G29" s="301"/>
      <c r="H29" s="301"/>
      <c r="I29" s="301"/>
      <c r="J29" s="301"/>
      <c r="K29" s="301"/>
      <c r="L29" s="301"/>
      <c r="M29" s="301"/>
      <c r="N29" s="301"/>
      <c r="O29" s="301"/>
      <c r="P29" s="301"/>
      <c r="Q29" s="301"/>
    </row>
    <row r="30" spans="1:17" ht="12.75">
      <c r="A30" s="301"/>
      <c r="B30" s="301"/>
      <c r="C30" s="301"/>
      <c r="D30" s="301"/>
      <c r="E30" s="301"/>
      <c r="F30" s="301"/>
      <c r="G30" s="301"/>
      <c r="H30" s="301"/>
      <c r="I30" s="301"/>
      <c r="J30" s="301"/>
      <c r="K30" s="301"/>
      <c r="L30" s="301"/>
      <c r="M30" s="301"/>
      <c r="N30" s="301"/>
      <c r="O30" s="301"/>
      <c r="P30" s="301"/>
      <c r="Q30" s="301"/>
    </row>
    <row r="31" spans="1:17" ht="12.75">
      <c r="A31" s="301"/>
      <c r="B31" s="301"/>
      <c r="C31" s="301"/>
      <c r="D31" s="301"/>
      <c r="E31" s="301"/>
      <c r="F31" s="301"/>
      <c r="G31" s="301"/>
      <c r="H31" s="301"/>
      <c r="I31" s="301"/>
      <c r="J31" s="301"/>
      <c r="K31" s="301"/>
      <c r="L31" s="301"/>
      <c r="M31" s="301"/>
      <c r="N31" s="301"/>
      <c r="O31" s="301"/>
      <c r="P31" s="301"/>
      <c r="Q31" s="301"/>
    </row>
    <row r="32" spans="1:17" ht="12.75">
      <c r="A32" s="301"/>
      <c r="B32" s="301"/>
      <c r="C32" s="301"/>
      <c r="D32" s="301"/>
      <c r="E32" s="301"/>
      <c r="F32" s="301"/>
      <c r="G32" s="301"/>
      <c r="H32" s="301"/>
      <c r="I32" s="301"/>
      <c r="J32" s="301"/>
      <c r="K32" s="301"/>
      <c r="L32" s="301"/>
      <c r="M32" s="301"/>
      <c r="N32" s="301"/>
      <c r="O32" s="301"/>
      <c r="P32" s="301"/>
      <c r="Q32" s="301"/>
    </row>
    <row r="33" spans="1:17" ht="12.75">
      <c r="A33" s="301"/>
      <c r="B33" s="301"/>
      <c r="C33" s="301"/>
      <c r="D33" s="301"/>
      <c r="E33" s="301"/>
      <c r="F33" s="301"/>
      <c r="G33" s="301"/>
      <c r="H33" s="301"/>
      <c r="I33" s="301"/>
      <c r="J33" s="301"/>
      <c r="K33" s="301"/>
      <c r="L33" s="301"/>
      <c r="M33" s="301"/>
      <c r="N33" s="301"/>
      <c r="O33" s="301"/>
      <c r="P33" s="301"/>
      <c r="Q33" s="301"/>
    </row>
    <row r="92" ht="15.75" customHeight="1"/>
  </sheetData>
  <sheetProtection password="D387" sheet="1" objects="1" scenarios="1"/>
  <mergeCells count="1">
    <mergeCell ref="G4:I4"/>
  </mergeCells>
  <printOptions/>
  <pageMargins left="0.75" right="0.75" top="1" bottom="1" header="0.5" footer="0.5"/>
  <pageSetup fitToHeight="1" fitToWidth="1" horizontalDpi="600" verticalDpi="600" orientation="portrait" scale="99" r:id="rId1"/>
  <headerFooter alignWithMargins="0">
    <oddHeader>&amp;CTotal Cost of Application Ownership (TCA) Calculator</oddHeader>
    <oddFooter>&amp;LThe Tolly Group TCA Calculator
&amp;P&amp;D&amp;T&amp;R© The Tolly Group, 1999</oddFooter>
  </headerFooter>
</worksheet>
</file>

<file path=xl/worksheets/sheet8.xml><?xml version="1.0" encoding="utf-8"?>
<worksheet xmlns="http://schemas.openxmlformats.org/spreadsheetml/2006/main" xmlns:r="http://schemas.openxmlformats.org/officeDocument/2006/relationships">
  <sheetPr codeName="Sheet81">
    <pageSetUpPr fitToPage="1"/>
  </sheetPr>
  <dimension ref="A1:O38"/>
  <sheetViews>
    <sheetView showRowColHeaders="0" workbookViewId="0" topLeftCell="A1">
      <selection activeCell="A1" sqref="A1"/>
    </sheetView>
  </sheetViews>
  <sheetFormatPr defaultColWidth="9.140625" defaultRowHeight="12.75"/>
  <cols>
    <col min="3" max="3" width="10.00390625" style="0" customWidth="1"/>
    <col min="6" max="6" width="12.28125" style="0" customWidth="1"/>
    <col min="7" max="9" width="10.421875" style="0" customWidth="1"/>
  </cols>
  <sheetData>
    <row r="1" spans="1:15" ht="13.5" thickBot="1">
      <c r="A1" s="301"/>
      <c r="B1" s="301"/>
      <c r="C1" s="301"/>
      <c r="D1" s="301"/>
      <c r="E1" s="301"/>
      <c r="F1" s="301"/>
      <c r="G1" s="301"/>
      <c r="H1" s="301"/>
      <c r="I1" s="301"/>
      <c r="J1" s="301"/>
      <c r="K1" s="301"/>
      <c r="L1" s="301"/>
      <c r="M1" s="301"/>
      <c r="N1" s="301"/>
      <c r="O1" s="301"/>
    </row>
    <row r="2" spans="1:15" ht="15.75" thickTop="1">
      <c r="A2" s="301"/>
      <c r="B2" s="34" t="s">
        <v>192</v>
      </c>
      <c r="C2" s="3"/>
      <c r="D2" s="3"/>
      <c r="E2" s="3"/>
      <c r="F2" s="3"/>
      <c r="G2" s="3"/>
      <c r="H2" s="3"/>
      <c r="I2" s="3"/>
      <c r="J2" s="13"/>
      <c r="K2" s="301"/>
      <c r="L2" s="301"/>
      <c r="M2" s="301"/>
      <c r="N2" s="301"/>
      <c r="O2" s="301"/>
    </row>
    <row r="3" spans="1:15" ht="12.75">
      <c r="A3" s="301"/>
      <c r="B3" s="4"/>
      <c r="C3" s="5"/>
      <c r="D3" s="5"/>
      <c r="E3" s="5"/>
      <c r="F3" s="5"/>
      <c r="G3" s="5"/>
      <c r="H3" s="5"/>
      <c r="I3" s="5"/>
      <c r="J3" s="6"/>
      <c r="K3" s="301"/>
      <c r="L3" s="301"/>
      <c r="M3" s="301"/>
      <c r="N3" s="301"/>
      <c r="O3" s="301"/>
    </row>
    <row r="4" spans="1:15" ht="15.75">
      <c r="A4" s="301"/>
      <c r="B4" s="4"/>
      <c r="C4" s="30" t="s">
        <v>620</v>
      </c>
      <c r="D4" s="5"/>
      <c r="E4" s="5"/>
      <c r="F4" s="5"/>
      <c r="G4" s="5"/>
      <c r="H4" s="5"/>
      <c r="I4" s="5"/>
      <c r="J4" s="6"/>
      <c r="K4" s="301"/>
      <c r="L4" s="301"/>
      <c r="M4" s="301"/>
      <c r="N4" s="301"/>
      <c r="O4" s="301"/>
    </row>
    <row r="5" spans="1:15" ht="12.75">
      <c r="A5" s="301"/>
      <c r="B5" s="4"/>
      <c r="C5" s="5"/>
      <c r="D5" s="5"/>
      <c r="E5" s="5"/>
      <c r="F5" s="5"/>
      <c r="G5" s="354" t="s">
        <v>164</v>
      </c>
      <c r="H5" s="355"/>
      <c r="I5" s="356"/>
      <c r="J5" s="6"/>
      <c r="K5" s="301"/>
      <c r="L5" s="301"/>
      <c r="M5" s="301"/>
      <c r="N5" s="301"/>
      <c r="O5" s="301"/>
    </row>
    <row r="6" spans="1:15" ht="38.25">
      <c r="A6" s="301"/>
      <c r="B6" s="4"/>
      <c r="C6" s="15" t="s">
        <v>619</v>
      </c>
      <c r="D6" s="5"/>
      <c r="E6" s="5"/>
      <c r="F6" s="5"/>
      <c r="G6" s="272" t="s">
        <v>534</v>
      </c>
      <c r="H6" s="277" t="s">
        <v>533</v>
      </c>
      <c r="I6" s="278" t="s">
        <v>535</v>
      </c>
      <c r="J6" s="6"/>
      <c r="K6" s="301"/>
      <c r="L6" s="301"/>
      <c r="M6" s="301"/>
      <c r="N6" s="301"/>
      <c r="O6" s="301"/>
    </row>
    <row r="7" spans="1:15" ht="12.75">
      <c r="A7" s="301"/>
      <c r="B7" s="4"/>
      <c r="C7" s="5"/>
      <c r="D7" s="5" t="s">
        <v>181</v>
      </c>
      <c r="E7" s="5"/>
      <c r="F7" s="5"/>
      <c r="G7" s="274">
        <v>45</v>
      </c>
      <c r="H7" s="276">
        <v>30</v>
      </c>
      <c r="I7" s="280">
        <v>0</v>
      </c>
      <c r="J7" s="6"/>
      <c r="K7" s="301"/>
      <c r="L7" s="301"/>
      <c r="M7" s="301"/>
      <c r="N7" s="301"/>
      <c r="O7" s="301"/>
    </row>
    <row r="8" spans="1:15" ht="12.75">
      <c r="A8" s="301"/>
      <c r="B8" s="4"/>
      <c r="C8" s="5"/>
      <c r="D8" s="5" t="s">
        <v>176</v>
      </c>
      <c r="E8" s="5"/>
      <c r="F8" s="5"/>
      <c r="G8" s="274">
        <v>60</v>
      </c>
      <c r="H8" s="276">
        <v>15</v>
      </c>
      <c r="I8" s="280">
        <v>0</v>
      </c>
      <c r="J8" s="6"/>
      <c r="K8" s="301"/>
      <c r="L8" s="301"/>
      <c r="M8" s="301"/>
      <c r="N8" s="301"/>
      <c r="O8" s="301"/>
    </row>
    <row r="9" spans="1:15" ht="12.75">
      <c r="A9" s="301"/>
      <c r="B9" s="4"/>
      <c r="C9" s="5"/>
      <c r="D9" s="5"/>
      <c r="E9" s="5"/>
      <c r="F9" s="5"/>
      <c r="G9" s="5"/>
      <c r="H9" s="5"/>
      <c r="I9" s="5"/>
      <c r="J9" s="6"/>
      <c r="K9" s="301"/>
      <c r="L9" s="301"/>
      <c r="M9" s="301"/>
      <c r="N9" s="301"/>
      <c r="O9" s="301"/>
    </row>
    <row r="10" spans="1:15" ht="12.75">
      <c r="A10" s="301"/>
      <c r="B10" s="4"/>
      <c r="C10" s="15" t="s">
        <v>618</v>
      </c>
      <c r="D10" s="5"/>
      <c r="E10" s="5"/>
      <c r="F10" s="5"/>
      <c r="G10" s="352" t="s">
        <v>50</v>
      </c>
      <c r="H10" s="352"/>
      <c r="I10" s="352"/>
      <c r="J10" s="6"/>
      <c r="K10" s="301"/>
      <c r="L10" s="301"/>
      <c r="M10" s="301"/>
      <c r="N10" s="301"/>
      <c r="O10" s="301"/>
    </row>
    <row r="11" spans="1:15" ht="12.75">
      <c r="A11" s="301"/>
      <c r="B11" s="4"/>
      <c r="C11" s="5"/>
      <c r="D11" s="5" t="s">
        <v>548</v>
      </c>
      <c r="E11" s="5"/>
      <c r="F11" s="5"/>
      <c r="G11" s="274">
        <v>0.5</v>
      </c>
      <c r="H11" s="276">
        <v>0.5</v>
      </c>
      <c r="I11" s="280">
        <v>0</v>
      </c>
      <c r="J11" s="6"/>
      <c r="K11" s="301"/>
      <c r="L11" s="301"/>
      <c r="M11" s="301"/>
      <c r="N11" s="301"/>
      <c r="O11" s="301"/>
    </row>
    <row r="12" spans="1:15" ht="12.75">
      <c r="A12" s="301"/>
      <c r="B12" s="4"/>
      <c r="C12" s="5"/>
      <c r="D12" s="5" t="s">
        <v>549</v>
      </c>
      <c r="E12" s="5"/>
      <c r="F12" s="5"/>
      <c r="G12" s="273">
        <v>1</v>
      </c>
      <c r="H12" s="275">
        <v>0</v>
      </c>
      <c r="I12" s="279">
        <v>0</v>
      </c>
      <c r="J12" s="6"/>
      <c r="K12" s="301"/>
      <c r="L12" s="301"/>
      <c r="M12" s="301"/>
      <c r="N12" s="301"/>
      <c r="O12" s="301"/>
    </row>
    <row r="13" spans="1:15" ht="12.75">
      <c r="A13" s="301"/>
      <c r="B13" s="4"/>
      <c r="C13" s="5"/>
      <c r="D13" s="5"/>
      <c r="E13" s="5"/>
      <c r="F13" s="5"/>
      <c r="G13" s="357" t="s">
        <v>538</v>
      </c>
      <c r="H13" s="358"/>
      <c r="I13" s="359"/>
      <c r="J13" s="6"/>
      <c r="K13" s="301"/>
      <c r="L13" s="301"/>
      <c r="M13" s="301"/>
      <c r="N13" s="301"/>
      <c r="O13" s="301"/>
    </row>
    <row r="14" spans="1:15" ht="12.75">
      <c r="A14" s="301"/>
      <c r="B14" s="4"/>
      <c r="C14" s="5"/>
      <c r="D14" s="5" t="s">
        <v>96</v>
      </c>
      <c r="E14" s="5"/>
      <c r="F14" s="5"/>
      <c r="G14" s="290">
        <v>25</v>
      </c>
      <c r="H14" s="291">
        <v>25</v>
      </c>
      <c r="I14" s="292">
        <v>0</v>
      </c>
      <c r="J14" s="6"/>
      <c r="K14" s="301"/>
      <c r="L14" s="301"/>
      <c r="M14" s="301"/>
      <c r="N14" s="301"/>
      <c r="O14" s="301"/>
    </row>
    <row r="15" spans="1:15" ht="13.5" thickBot="1">
      <c r="A15" s="301"/>
      <c r="B15" s="7"/>
      <c r="C15" s="8"/>
      <c r="D15" s="8"/>
      <c r="E15" s="8"/>
      <c r="F15" s="8"/>
      <c r="G15" s="8"/>
      <c r="H15" s="8"/>
      <c r="I15" s="8"/>
      <c r="J15" s="9"/>
      <c r="K15" s="301"/>
      <c r="L15" s="301"/>
      <c r="M15" s="301"/>
      <c r="N15" s="301"/>
      <c r="O15" s="301"/>
    </row>
    <row r="16" spans="1:15" ht="13.5" thickTop="1">
      <c r="A16" s="301"/>
      <c r="B16" s="301"/>
      <c r="C16" s="301"/>
      <c r="D16" s="301"/>
      <c r="E16" s="301"/>
      <c r="F16" s="301"/>
      <c r="G16" s="301"/>
      <c r="H16" s="301"/>
      <c r="I16" s="301"/>
      <c r="J16" s="301"/>
      <c r="K16" s="301"/>
      <c r="L16" s="301"/>
      <c r="M16" s="301"/>
      <c r="N16" s="301"/>
      <c r="O16" s="301"/>
    </row>
    <row r="17" spans="1:15" ht="12.75">
      <c r="A17" s="301"/>
      <c r="B17" s="301"/>
      <c r="C17" s="301"/>
      <c r="D17" s="301"/>
      <c r="E17" s="301"/>
      <c r="F17" s="301"/>
      <c r="G17" s="301"/>
      <c r="H17" s="301"/>
      <c r="I17" s="301"/>
      <c r="J17" s="301"/>
      <c r="K17" s="301"/>
      <c r="L17" s="301"/>
      <c r="M17" s="301"/>
      <c r="N17" s="301"/>
      <c r="O17" s="301"/>
    </row>
    <row r="18" spans="1:15" ht="12.75">
      <c r="A18" s="301"/>
      <c r="B18" s="301"/>
      <c r="C18" s="306"/>
      <c r="D18" s="301"/>
      <c r="E18" s="301"/>
      <c r="F18" s="301"/>
      <c r="G18" s="301"/>
      <c r="H18" s="301"/>
      <c r="I18" s="301"/>
      <c r="J18" s="301"/>
      <c r="K18" s="301"/>
      <c r="L18" s="301"/>
      <c r="M18" s="301"/>
      <c r="N18" s="301"/>
      <c r="O18" s="301"/>
    </row>
    <row r="19" spans="1:15" ht="12.75">
      <c r="A19" s="301"/>
      <c r="B19" s="301"/>
      <c r="C19" s="306"/>
      <c r="D19" s="301"/>
      <c r="E19" s="301"/>
      <c r="F19" s="301"/>
      <c r="G19" s="301"/>
      <c r="H19" s="301"/>
      <c r="I19" s="301"/>
      <c r="J19" s="301"/>
      <c r="K19" s="301"/>
      <c r="L19" s="301"/>
      <c r="M19" s="301"/>
      <c r="N19" s="301"/>
      <c r="O19" s="301"/>
    </row>
    <row r="20" spans="1:15" ht="12.75">
      <c r="A20" s="301"/>
      <c r="B20" s="301"/>
      <c r="C20" s="301"/>
      <c r="D20" s="301"/>
      <c r="E20" s="301"/>
      <c r="F20" s="301"/>
      <c r="G20" s="301"/>
      <c r="H20" s="301"/>
      <c r="I20" s="301"/>
      <c r="J20" s="301"/>
      <c r="K20" s="301"/>
      <c r="L20" s="301"/>
      <c r="M20" s="301"/>
      <c r="N20" s="301"/>
      <c r="O20" s="301"/>
    </row>
    <row r="21" spans="1:15" ht="12.75">
      <c r="A21" s="301"/>
      <c r="B21" s="301"/>
      <c r="C21" s="301"/>
      <c r="D21" s="301"/>
      <c r="E21" s="301"/>
      <c r="F21" s="301"/>
      <c r="G21" s="301"/>
      <c r="H21" s="301"/>
      <c r="I21" s="301"/>
      <c r="J21" s="301"/>
      <c r="K21" s="301"/>
      <c r="L21" s="301"/>
      <c r="M21" s="301"/>
      <c r="N21" s="301"/>
      <c r="O21" s="301"/>
    </row>
    <row r="22" spans="1:15" ht="12.75">
      <c r="A22" s="301"/>
      <c r="B22" s="301"/>
      <c r="C22" s="301"/>
      <c r="D22" s="301"/>
      <c r="E22" s="301"/>
      <c r="F22" s="301"/>
      <c r="G22" s="301"/>
      <c r="H22" s="301"/>
      <c r="I22" s="301"/>
      <c r="J22" s="301"/>
      <c r="K22" s="301"/>
      <c r="L22" s="301"/>
      <c r="M22" s="301"/>
      <c r="N22" s="301"/>
      <c r="O22" s="301"/>
    </row>
    <row r="23" spans="1:15" ht="12.75">
      <c r="A23" s="301"/>
      <c r="B23" s="301"/>
      <c r="C23" s="301"/>
      <c r="D23" s="301"/>
      <c r="E23" s="301"/>
      <c r="F23" s="301"/>
      <c r="G23" s="301"/>
      <c r="H23" s="301"/>
      <c r="I23" s="301"/>
      <c r="J23" s="301"/>
      <c r="K23" s="301"/>
      <c r="L23" s="301"/>
      <c r="M23" s="301"/>
      <c r="N23" s="301"/>
      <c r="O23" s="301"/>
    </row>
    <row r="24" spans="1:15" ht="12.75">
      <c r="A24" s="301"/>
      <c r="B24" s="301"/>
      <c r="C24" s="301"/>
      <c r="D24" s="301"/>
      <c r="E24" s="301"/>
      <c r="F24" s="301"/>
      <c r="G24" s="301"/>
      <c r="H24" s="301"/>
      <c r="I24" s="301"/>
      <c r="J24" s="301"/>
      <c r="K24" s="301"/>
      <c r="L24" s="301"/>
      <c r="M24" s="301"/>
      <c r="N24" s="301"/>
      <c r="O24" s="301"/>
    </row>
    <row r="25" spans="1:15" ht="12.75">
      <c r="A25" s="301"/>
      <c r="B25" s="301"/>
      <c r="C25" s="301"/>
      <c r="D25" s="301"/>
      <c r="E25" s="301"/>
      <c r="F25" s="301"/>
      <c r="G25" s="301"/>
      <c r="H25" s="301"/>
      <c r="I25" s="301"/>
      <c r="J25" s="301"/>
      <c r="K25" s="301"/>
      <c r="L25" s="301"/>
      <c r="M25" s="301"/>
      <c r="N25" s="301"/>
      <c r="O25" s="301"/>
    </row>
    <row r="26" spans="1:15" ht="12.75">
      <c r="A26" s="301"/>
      <c r="B26" s="301"/>
      <c r="C26" s="301"/>
      <c r="D26" s="301"/>
      <c r="E26" s="301"/>
      <c r="F26" s="301"/>
      <c r="G26" s="301"/>
      <c r="H26" s="301"/>
      <c r="I26" s="301"/>
      <c r="J26" s="301"/>
      <c r="K26" s="301"/>
      <c r="L26" s="301"/>
      <c r="M26" s="301"/>
      <c r="N26" s="301"/>
      <c r="O26" s="301"/>
    </row>
    <row r="27" spans="1:15" ht="12.75">
      <c r="A27" s="301"/>
      <c r="B27" s="301"/>
      <c r="C27" s="301"/>
      <c r="D27" s="301"/>
      <c r="E27" s="301"/>
      <c r="F27" s="301"/>
      <c r="G27" s="301"/>
      <c r="H27" s="301"/>
      <c r="I27" s="301"/>
      <c r="J27" s="301"/>
      <c r="K27" s="301"/>
      <c r="L27" s="301"/>
      <c r="M27" s="301"/>
      <c r="N27" s="301"/>
      <c r="O27" s="301"/>
    </row>
    <row r="28" spans="1:15" ht="12.75">
      <c r="A28" s="301"/>
      <c r="B28" s="301"/>
      <c r="C28" s="301"/>
      <c r="D28" s="301"/>
      <c r="E28" s="301"/>
      <c r="F28" s="301"/>
      <c r="G28" s="301"/>
      <c r="H28" s="301"/>
      <c r="I28" s="301"/>
      <c r="J28" s="301"/>
      <c r="K28" s="301"/>
      <c r="L28" s="301"/>
      <c r="M28" s="301"/>
      <c r="N28" s="301"/>
      <c r="O28" s="301"/>
    </row>
    <row r="29" spans="1:15" ht="12.75">
      <c r="A29" s="301"/>
      <c r="B29" s="301"/>
      <c r="C29" s="301"/>
      <c r="D29" s="301"/>
      <c r="E29" s="301"/>
      <c r="F29" s="301"/>
      <c r="G29" s="301"/>
      <c r="H29" s="301"/>
      <c r="I29" s="301"/>
      <c r="J29" s="301"/>
      <c r="K29" s="301"/>
      <c r="L29" s="301"/>
      <c r="M29" s="301"/>
      <c r="N29" s="301"/>
      <c r="O29" s="301"/>
    </row>
    <row r="30" spans="1:15" ht="12.75">
      <c r="A30" s="301"/>
      <c r="B30" s="301"/>
      <c r="C30" s="301"/>
      <c r="D30" s="301"/>
      <c r="E30" s="301"/>
      <c r="F30" s="301"/>
      <c r="G30" s="301"/>
      <c r="H30" s="301"/>
      <c r="I30" s="301"/>
      <c r="J30" s="301"/>
      <c r="K30" s="301"/>
      <c r="L30" s="301"/>
      <c r="M30" s="301"/>
      <c r="N30" s="301"/>
      <c r="O30" s="301"/>
    </row>
    <row r="31" spans="1:15" ht="12.75">
      <c r="A31" s="301"/>
      <c r="B31" s="301"/>
      <c r="C31" s="301"/>
      <c r="D31" s="301"/>
      <c r="E31" s="301"/>
      <c r="F31" s="301"/>
      <c r="G31" s="301"/>
      <c r="H31" s="301"/>
      <c r="I31" s="301"/>
      <c r="J31" s="301"/>
      <c r="K31" s="301"/>
      <c r="L31" s="301"/>
      <c r="M31" s="301"/>
      <c r="N31" s="301"/>
      <c r="O31" s="301"/>
    </row>
    <row r="32" spans="1:15" ht="12.75">
      <c r="A32" s="301"/>
      <c r="B32" s="301"/>
      <c r="C32" s="301"/>
      <c r="D32" s="301"/>
      <c r="E32" s="301"/>
      <c r="F32" s="301"/>
      <c r="G32" s="301"/>
      <c r="H32" s="301"/>
      <c r="I32" s="301"/>
      <c r="J32" s="301"/>
      <c r="K32" s="301"/>
      <c r="L32" s="301"/>
      <c r="M32" s="301"/>
      <c r="N32" s="301"/>
      <c r="O32" s="301"/>
    </row>
    <row r="33" spans="1:15" ht="12.75">
      <c r="A33" s="301"/>
      <c r="B33" s="301"/>
      <c r="C33" s="301"/>
      <c r="D33" s="301"/>
      <c r="E33" s="301"/>
      <c r="F33" s="301"/>
      <c r="G33" s="301"/>
      <c r="H33" s="301"/>
      <c r="I33" s="301"/>
      <c r="J33" s="301"/>
      <c r="K33" s="301"/>
      <c r="L33" s="301"/>
      <c r="M33" s="301"/>
      <c r="N33" s="301"/>
      <c r="O33" s="301"/>
    </row>
    <row r="34" spans="1:15" ht="12.75">
      <c r="A34" s="301"/>
      <c r="B34" s="301"/>
      <c r="C34" s="301"/>
      <c r="D34" s="301"/>
      <c r="E34" s="301"/>
      <c r="F34" s="301"/>
      <c r="G34" s="301"/>
      <c r="H34" s="301"/>
      <c r="I34" s="301"/>
      <c r="J34" s="301"/>
      <c r="K34" s="301"/>
      <c r="L34" s="301"/>
      <c r="M34" s="301"/>
      <c r="N34" s="301"/>
      <c r="O34" s="301"/>
    </row>
    <row r="35" spans="1:15" ht="12.75">
      <c r="A35" s="301"/>
      <c r="B35" s="301"/>
      <c r="C35" s="301"/>
      <c r="D35" s="301"/>
      <c r="E35" s="301"/>
      <c r="F35" s="301"/>
      <c r="G35" s="301"/>
      <c r="H35" s="301"/>
      <c r="I35" s="301"/>
      <c r="J35" s="301"/>
      <c r="K35" s="301"/>
      <c r="L35" s="301"/>
      <c r="M35" s="301"/>
      <c r="N35" s="301"/>
      <c r="O35" s="301"/>
    </row>
    <row r="36" spans="1:15" ht="12.75">
      <c r="A36" s="301"/>
      <c r="B36" s="301"/>
      <c r="C36" s="301"/>
      <c r="D36" s="301"/>
      <c r="E36" s="301"/>
      <c r="F36" s="301"/>
      <c r="G36" s="301"/>
      <c r="H36" s="301"/>
      <c r="I36" s="301"/>
      <c r="J36" s="301"/>
      <c r="K36" s="301"/>
      <c r="L36" s="301"/>
      <c r="M36" s="301"/>
      <c r="N36" s="301"/>
      <c r="O36" s="301"/>
    </row>
    <row r="37" spans="1:15" ht="12.75">
      <c r="A37" s="301"/>
      <c r="B37" s="301"/>
      <c r="C37" s="301"/>
      <c r="D37" s="301"/>
      <c r="E37" s="301"/>
      <c r="F37" s="301"/>
      <c r="G37" s="301"/>
      <c r="H37" s="301"/>
      <c r="I37" s="301"/>
      <c r="J37" s="301"/>
      <c r="K37" s="301"/>
      <c r="L37" s="301"/>
      <c r="M37" s="301"/>
      <c r="N37" s="301"/>
      <c r="O37" s="301"/>
    </row>
    <row r="38" spans="1:15" ht="12.75">
      <c r="A38" s="301"/>
      <c r="B38" s="301"/>
      <c r="C38" s="301"/>
      <c r="D38" s="301"/>
      <c r="E38" s="301"/>
      <c r="F38" s="301"/>
      <c r="G38" s="301"/>
      <c r="H38" s="301"/>
      <c r="I38" s="301"/>
      <c r="J38" s="301"/>
      <c r="K38" s="301"/>
      <c r="L38" s="301"/>
      <c r="M38" s="301"/>
      <c r="N38" s="301"/>
      <c r="O38" s="301"/>
    </row>
  </sheetData>
  <sheetProtection password="D387" sheet="1" objects="1" scenarios="1"/>
  <mergeCells count="3">
    <mergeCell ref="G5:I5"/>
    <mergeCell ref="G10:I10"/>
    <mergeCell ref="G13:I13"/>
  </mergeCells>
  <printOptions/>
  <pageMargins left="0.75" right="0.75" top="1" bottom="1" header="0.5" footer="0.5"/>
  <pageSetup fitToHeight="1" fitToWidth="1" horizontalDpi="600" verticalDpi="600" orientation="portrait" scale="91" r:id="rId1"/>
  <headerFooter alignWithMargins="0">
    <oddHeader>&amp;CTotal Cost of Application Ownership (TCA) Calculator</oddHeader>
    <oddFooter>&amp;LThe Tolly Group TCA Calculator
&amp;P&amp;D&amp;T&amp;R© The Tolly Group, 1999</oddFooter>
  </headerFooter>
</worksheet>
</file>

<file path=xl/worksheets/sheet9.xml><?xml version="1.0" encoding="utf-8"?>
<worksheet xmlns="http://schemas.openxmlformats.org/spreadsheetml/2006/main" xmlns:r="http://schemas.openxmlformats.org/officeDocument/2006/relationships">
  <sheetPr codeName="Sheet91">
    <pageSetUpPr fitToPage="1"/>
  </sheetPr>
  <dimension ref="A1:P35"/>
  <sheetViews>
    <sheetView showRowColHeaders="0" workbookViewId="0" topLeftCell="A1">
      <selection activeCell="A1" sqref="A1"/>
    </sheetView>
  </sheetViews>
  <sheetFormatPr defaultColWidth="9.140625" defaultRowHeight="12.75"/>
  <cols>
    <col min="3" max="3" width="10.00390625" style="0" customWidth="1"/>
    <col min="5" max="5" width="18.28125" style="0" customWidth="1"/>
    <col min="6" max="8" width="10.7109375" style="0" customWidth="1"/>
    <col min="9" max="9" width="12.7109375" style="0" customWidth="1"/>
  </cols>
  <sheetData>
    <row r="1" spans="1:16" ht="13.5" thickBot="1">
      <c r="A1" s="301"/>
      <c r="B1" s="301"/>
      <c r="C1" s="301"/>
      <c r="D1" s="301"/>
      <c r="E1" s="301"/>
      <c r="F1" s="301"/>
      <c r="G1" s="301"/>
      <c r="H1" s="301"/>
      <c r="I1" s="301"/>
      <c r="J1" s="301"/>
      <c r="K1" s="301"/>
      <c r="L1" s="301"/>
      <c r="M1" s="301"/>
      <c r="N1" s="301"/>
      <c r="O1" s="301"/>
      <c r="P1" s="301"/>
    </row>
    <row r="2" spans="1:16" ht="15.75" thickTop="1">
      <c r="A2" s="301"/>
      <c r="B2" s="34" t="s">
        <v>192</v>
      </c>
      <c r="C2" s="3"/>
      <c r="D2" s="3"/>
      <c r="E2" s="3"/>
      <c r="F2" s="3"/>
      <c r="G2" s="3"/>
      <c r="H2" s="3"/>
      <c r="I2" s="3"/>
      <c r="J2" s="13"/>
      <c r="K2" s="301"/>
      <c r="L2" s="301"/>
      <c r="M2" s="301"/>
      <c r="N2" s="301"/>
      <c r="O2" s="301"/>
      <c r="P2" s="301"/>
    </row>
    <row r="3" spans="1:16" ht="12.75">
      <c r="A3" s="301"/>
      <c r="B3" s="4"/>
      <c r="C3" s="5"/>
      <c r="D3" s="5"/>
      <c r="E3" s="5"/>
      <c r="F3" s="5"/>
      <c r="G3" s="5"/>
      <c r="H3" s="5"/>
      <c r="I3" s="5"/>
      <c r="J3" s="6"/>
      <c r="K3" s="301"/>
      <c r="L3" s="301"/>
      <c r="M3" s="301"/>
      <c r="N3" s="301"/>
      <c r="O3" s="301"/>
      <c r="P3" s="301"/>
    </row>
    <row r="4" spans="1:16" ht="15.75">
      <c r="A4" s="301"/>
      <c r="B4" s="4"/>
      <c r="C4" s="30" t="s">
        <v>621</v>
      </c>
      <c r="D4" s="5"/>
      <c r="E4" s="5"/>
      <c r="F4" s="5"/>
      <c r="G4" s="5"/>
      <c r="H4" s="5"/>
      <c r="I4" s="5"/>
      <c r="J4" s="6"/>
      <c r="K4" s="301"/>
      <c r="L4" s="301"/>
      <c r="M4" s="301"/>
      <c r="N4" s="301"/>
      <c r="O4" s="301"/>
      <c r="P4" s="301"/>
    </row>
    <row r="5" spans="1:16" ht="12.75">
      <c r="A5" s="301"/>
      <c r="B5" s="4"/>
      <c r="C5" s="5"/>
      <c r="D5" s="5"/>
      <c r="E5" s="5"/>
      <c r="F5" s="5"/>
      <c r="G5" s="5"/>
      <c r="H5" s="5"/>
      <c r="I5" s="5"/>
      <c r="J5" s="6"/>
      <c r="K5" s="301"/>
      <c r="L5" s="301"/>
      <c r="M5" s="301"/>
      <c r="N5" s="301"/>
      <c r="O5" s="301"/>
      <c r="P5" s="301"/>
    </row>
    <row r="6" spans="1:16" ht="12.75">
      <c r="A6" s="301"/>
      <c r="B6" s="4"/>
      <c r="C6" s="15" t="s">
        <v>586</v>
      </c>
      <c r="D6" s="5"/>
      <c r="E6" s="5"/>
      <c r="F6" s="5"/>
      <c r="G6" s="5"/>
      <c r="H6" s="5"/>
      <c r="I6" s="5"/>
      <c r="J6" s="6"/>
      <c r="K6" s="301"/>
      <c r="L6" s="301"/>
      <c r="M6" s="301"/>
      <c r="N6" s="301"/>
      <c r="O6" s="301"/>
      <c r="P6" s="301"/>
    </row>
    <row r="7" spans="1:16" ht="38.25">
      <c r="A7" s="301"/>
      <c r="B7" s="4"/>
      <c r="C7" s="5"/>
      <c r="D7" s="5"/>
      <c r="E7" s="5"/>
      <c r="F7" s="315" t="s">
        <v>0</v>
      </c>
      <c r="G7" s="315" t="s">
        <v>563</v>
      </c>
      <c r="H7" s="315" t="s">
        <v>177</v>
      </c>
      <c r="I7" s="315" t="s">
        <v>567</v>
      </c>
      <c r="J7" s="6"/>
      <c r="K7" s="301"/>
      <c r="L7" s="301"/>
      <c r="M7" s="301"/>
      <c r="N7" s="301"/>
      <c r="O7" s="301"/>
      <c r="P7" s="301"/>
    </row>
    <row r="8" spans="1:16" ht="12.75">
      <c r="A8" s="301"/>
      <c r="B8" s="4"/>
      <c r="C8" s="76" t="s">
        <v>27</v>
      </c>
      <c r="D8" s="5"/>
      <c r="E8" s="5"/>
      <c r="F8" s="192">
        <f>'Detailed Data'!G11</f>
        <v>1</v>
      </c>
      <c r="G8" s="88">
        <v>35</v>
      </c>
      <c r="H8" s="243">
        <v>1500</v>
      </c>
      <c r="I8" s="299">
        <f>IF(F8&gt;0,(F8*'FatClient Base Data'!G10*G8/F8),"")</f>
        <v>1406.7307692307693</v>
      </c>
      <c r="J8" s="6"/>
      <c r="K8" s="301"/>
      <c r="L8" s="301"/>
      <c r="M8" s="301"/>
      <c r="N8" s="301"/>
      <c r="O8" s="301"/>
      <c r="P8" s="301"/>
    </row>
    <row r="9" spans="1:16" ht="12.75">
      <c r="A9" s="301"/>
      <c r="B9" s="4"/>
      <c r="C9" s="76" t="s">
        <v>28</v>
      </c>
      <c r="D9" s="5"/>
      <c r="E9" s="5"/>
      <c r="F9" s="192">
        <f>'Detailed Data'!G12</f>
        <v>10</v>
      </c>
      <c r="G9" s="88">
        <v>35</v>
      </c>
      <c r="H9" s="243">
        <v>1500</v>
      </c>
      <c r="I9" s="299">
        <f>IF(F9&gt;0,(F9*'FatClient Base Data'!G11*G9/F9),"")</f>
        <v>1150.9615384615386</v>
      </c>
      <c r="J9" s="6"/>
      <c r="K9" s="301"/>
      <c r="L9" s="301"/>
      <c r="M9" s="301"/>
      <c r="N9" s="301"/>
      <c r="O9" s="301"/>
      <c r="P9" s="301"/>
    </row>
    <row r="10" spans="1:16" ht="12.75">
      <c r="A10" s="301"/>
      <c r="B10" s="4"/>
      <c r="C10" s="76" t="s">
        <v>29</v>
      </c>
      <c r="D10" s="5"/>
      <c r="E10" s="5"/>
      <c r="F10" s="192">
        <f>'Detailed Data'!G13</f>
        <v>1</v>
      </c>
      <c r="G10" s="88">
        <v>35</v>
      </c>
      <c r="H10" s="243">
        <v>1500</v>
      </c>
      <c r="I10" s="299">
        <f>IF(F10&gt;0,(F10*'FatClient Base Data'!G12*G10/F10),"")</f>
        <v>1662.5</v>
      </c>
      <c r="J10" s="6"/>
      <c r="K10" s="301"/>
      <c r="L10" s="301"/>
      <c r="M10" s="301"/>
      <c r="N10" s="301"/>
      <c r="O10" s="301"/>
      <c r="P10" s="301"/>
    </row>
    <row r="11" spans="1:16" ht="12.75">
      <c r="A11" s="301"/>
      <c r="B11" s="4"/>
      <c r="C11" s="77" t="s">
        <v>30</v>
      </c>
      <c r="D11" s="5"/>
      <c r="E11" s="5"/>
      <c r="F11" s="192">
        <f>'Detailed Data'!G14</f>
        <v>0</v>
      </c>
      <c r="G11" s="88">
        <v>35</v>
      </c>
      <c r="H11" s="243">
        <v>1500</v>
      </c>
      <c r="I11" s="299">
        <f>IF(F11&gt;0,(F11*'FatClient Base Data'!G13*G11/F11),"")</f>
      </c>
      <c r="J11" s="6"/>
      <c r="K11" s="301"/>
      <c r="L11" s="301"/>
      <c r="M11" s="301"/>
      <c r="N11" s="301"/>
      <c r="O11" s="301"/>
      <c r="P11" s="301"/>
    </row>
    <row r="12" spans="1:16" ht="12.75">
      <c r="A12" s="301"/>
      <c r="B12" s="4"/>
      <c r="C12" s="76" t="s">
        <v>31</v>
      </c>
      <c r="D12" s="5"/>
      <c r="E12" s="5"/>
      <c r="F12" s="192">
        <f>'Detailed Data'!G15</f>
        <v>5</v>
      </c>
      <c r="G12" s="88">
        <v>35</v>
      </c>
      <c r="H12" s="243">
        <v>1500</v>
      </c>
      <c r="I12" s="299">
        <f>IF(F12&gt;0,(F12*'FatClient Base Data'!G14*G12/F12),"")</f>
        <v>1662.5</v>
      </c>
      <c r="J12" s="6"/>
      <c r="K12" s="301"/>
      <c r="L12" s="301"/>
      <c r="M12" s="301"/>
      <c r="N12" s="301"/>
      <c r="O12" s="301"/>
      <c r="P12" s="301"/>
    </row>
    <row r="13" spans="1:16" ht="12.75">
      <c r="A13" s="301"/>
      <c r="B13" s="4"/>
      <c r="C13" s="76" t="s">
        <v>32</v>
      </c>
      <c r="D13" s="5"/>
      <c r="E13" s="5"/>
      <c r="F13" s="192">
        <f>'Detailed Data'!G16</f>
        <v>0</v>
      </c>
      <c r="G13" s="88">
        <v>35</v>
      </c>
      <c r="H13" s="243">
        <v>1500</v>
      </c>
      <c r="I13" s="299">
        <f>IF(F13&gt;0,(F13*'FatClient Base Data'!G15*G13/F13),"")</f>
      </c>
      <c r="J13" s="6"/>
      <c r="K13" s="301"/>
      <c r="L13" s="301"/>
      <c r="M13" s="301"/>
      <c r="N13" s="301"/>
      <c r="O13" s="301"/>
      <c r="P13" s="301"/>
    </row>
    <row r="14" spans="1:16" ht="12.75">
      <c r="A14" s="301"/>
      <c r="B14" s="4"/>
      <c r="C14" s="76" t="s">
        <v>33</v>
      </c>
      <c r="D14" s="5"/>
      <c r="E14" s="5"/>
      <c r="F14" s="192">
        <f>'Detailed Data'!G17</f>
        <v>5</v>
      </c>
      <c r="G14" s="88">
        <v>35</v>
      </c>
      <c r="H14" s="243">
        <v>1500</v>
      </c>
      <c r="I14" s="299">
        <f>IF(F14&gt;0,(F14*'FatClient Base Data'!G16*G14/F14),"")</f>
        <v>1752.019230769231</v>
      </c>
      <c r="J14" s="6"/>
      <c r="K14" s="301"/>
      <c r="L14" s="301"/>
      <c r="M14" s="301"/>
      <c r="N14" s="301"/>
      <c r="O14" s="301"/>
      <c r="P14" s="301"/>
    </row>
    <row r="15" spans="1:16" ht="12.75">
      <c r="A15" s="301"/>
      <c r="B15" s="4"/>
      <c r="C15" s="76" t="s">
        <v>289</v>
      </c>
      <c r="D15" s="5"/>
      <c r="E15" s="5"/>
      <c r="F15" s="192">
        <f>'Detailed Data'!G18</f>
        <v>25</v>
      </c>
      <c r="G15" s="88">
        <v>35</v>
      </c>
      <c r="H15" s="243">
        <v>1500</v>
      </c>
      <c r="I15" s="299">
        <f>IF(F15&gt;0,(F15*'FatClient Base Data'!G17*G15/F15),"")</f>
        <v>1330</v>
      </c>
      <c r="J15" s="6"/>
      <c r="K15" s="301"/>
      <c r="L15" s="301"/>
      <c r="M15" s="301"/>
      <c r="N15" s="301"/>
      <c r="O15" s="301"/>
      <c r="P15" s="301"/>
    </row>
    <row r="16" spans="1:16" ht="12.75">
      <c r="A16" s="301"/>
      <c r="B16" s="4"/>
      <c r="C16" s="76" t="s">
        <v>290</v>
      </c>
      <c r="D16" s="5"/>
      <c r="E16" s="5"/>
      <c r="F16" s="192">
        <f>'Detailed Data'!G19</f>
        <v>1</v>
      </c>
      <c r="G16" s="88">
        <v>35</v>
      </c>
      <c r="H16" s="243">
        <v>1500</v>
      </c>
      <c r="I16" s="299">
        <f>IF(F16&gt;0,(F16*'FatClient Base Data'!G18*G16/F16),"")</f>
        <v>1918.2692307692307</v>
      </c>
      <c r="J16" s="6"/>
      <c r="K16" s="301"/>
      <c r="L16" s="301"/>
      <c r="M16" s="301"/>
      <c r="N16" s="301"/>
      <c r="O16" s="301"/>
      <c r="P16" s="301"/>
    </row>
    <row r="17" spans="1:16" ht="12.75">
      <c r="A17" s="301"/>
      <c r="B17" s="4"/>
      <c r="C17" s="76" t="s">
        <v>293</v>
      </c>
      <c r="D17" s="5"/>
      <c r="E17" s="5"/>
      <c r="F17" s="192">
        <f>'Detailed Data'!G20</f>
        <v>0</v>
      </c>
      <c r="G17" s="88">
        <v>35</v>
      </c>
      <c r="H17" s="243">
        <v>1500</v>
      </c>
      <c r="I17" s="299">
        <f>IF(F17&gt;0,(F17*'FatClient Base Data'!G19*G17/F17),"")</f>
      </c>
      <c r="J17" s="6"/>
      <c r="K17" s="301"/>
      <c r="L17" s="301"/>
      <c r="M17" s="301"/>
      <c r="N17" s="301"/>
      <c r="O17" s="301"/>
      <c r="P17" s="301"/>
    </row>
    <row r="18" spans="1:16" ht="12.75">
      <c r="A18" s="301"/>
      <c r="B18" s="4"/>
      <c r="C18" s="76" t="s">
        <v>34</v>
      </c>
      <c r="D18" s="5"/>
      <c r="E18" s="5"/>
      <c r="F18" s="192">
        <f>'Detailed Data'!G21</f>
        <v>1</v>
      </c>
      <c r="G18" s="88">
        <v>35</v>
      </c>
      <c r="H18" s="243">
        <v>1500</v>
      </c>
      <c r="I18" s="299">
        <f>IF(F18&gt;0,(F18*'FatClient Base Data'!G20*G18/F18),"")</f>
        <v>1112.5961538461538</v>
      </c>
      <c r="J18" s="6"/>
      <c r="K18" s="301"/>
      <c r="L18" s="301"/>
      <c r="M18" s="301"/>
      <c r="N18" s="301"/>
      <c r="O18" s="301"/>
      <c r="P18" s="301"/>
    </row>
    <row r="19" spans="1:16" ht="12.75">
      <c r="A19" s="301"/>
      <c r="B19" s="4"/>
      <c r="C19" s="5" t="s">
        <v>48</v>
      </c>
      <c r="D19" s="5"/>
      <c r="E19" s="5"/>
      <c r="F19" s="136">
        <f>0.65*'Front End'!G3</f>
        <v>1625</v>
      </c>
      <c r="G19" s="88">
        <v>20</v>
      </c>
      <c r="H19" s="243">
        <v>1200</v>
      </c>
      <c r="I19" s="299">
        <f>IF(F19&gt;0,(F19*'FatClient Base Data'!G25*G19/F19),"")</f>
        <v>584.6153846153846</v>
      </c>
      <c r="J19" s="6"/>
      <c r="K19" s="301"/>
      <c r="L19" s="301"/>
      <c r="M19" s="301"/>
      <c r="N19" s="301"/>
      <c r="O19" s="301"/>
      <c r="P19" s="301"/>
    </row>
    <row r="20" spans="1:16" ht="12.75">
      <c r="A20" s="301"/>
      <c r="B20" s="4"/>
      <c r="C20" s="5" t="s">
        <v>587</v>
      </c>
      <c r="D20" s="5"/>
      <c r="E20" s="5"/>
      <c r="F20" s="136">
        <f>0.25*'Front End'!G3</f>
        <v>625</v>
      </c>
      <c r="G20" s="88">
        <v>8</v>
      </c>
      <c r="H20" s="243">
        <v>800</v>
      </c>
      <c r="I20" s="299">
        <f>IF(F20&gt;0,(F20*'FatClient Base Data'!G26*G20/F20),"")</f>
        <v>467.6923076923077</v>
      </c>
      <c r="J20" s="6"/>
      <c r="K20" s="301"/>
      <c r="L20" s="301"/>
      <c r="M20" s="301"/>
      <c r="N20" s="301"/>
      <c r="O20" s="301"/>
      <c r="P20" s="301"/>
    </row>
    <row r="21" spans="1:16" ht="12.75">
      <c r="A21" s="301"/>
      <c r="B21" s="4"/>
      <c r="C21" s="5" t="s">
        <v>49</v>
      </c>
      <c r="D21" s="5"/>
      <c r="E21" s="5"/>
      <c r="F21" s="136">
        <f>0.1*'Front End'!G3</f>
        <v>250</v>
      </c>
      <c r="G21" s="88">
        <v>2</v>
      </c>
      <c r="H21" s="243">
        <v>500</v>
      </c>
      <c r="I21" s="299">
        <f>IF(F21&gt;0,(F21*'FatClient Base Data'!G27*G21/F21),"")</f>
        <v>219.23076923076923</v>
      </c>
      <c r="J21" s="6"/>
      <c r="K21" s="301"/>
      <c r="L21" s="301"/>
      <c r="M21" s="301"/>
      <c r="N21" s="301"/>
      <c r="O21" s="301"/>
      <c r="P21" s="301"/>
    </row>
    <row r="22" spans="1:16" ht="13.5" thickBot="1">
      <c r="A22" s="301"/>
      <c r="B22" s="7"/>
      <c r="C22" s="8"/>
      <c r="D22" s="8"/>
      <c r="E22" s="8"/>
      <c r="F22" s="8"/>
      <c r="G22" s="8"/>
      <c r="H22" s="8"/>
      <c r="I22" s="8"/>
      <c r="J22" s="9"/>
      <c r="K22" s="301"/>
      <c r="L22" s="301"/>
      <c r="M22" s="301"/>
      <c r="N22" s="301"/>
      <c r="O22" s="301"/>
      <c r="P22" s="301"/>
    </row>
    <row r="23" spans="1:16" ht="13.5" thickTop="1">
      <c r="A23" s="301"/>
      <c r="B23" s="301"/>
      <c r="C23" s="301"/>
      <c r="D23" s="301"/>
      <c r="E23" s="301"/>
      <c r="F23" s="301"/>
      <c r="G23" s="301"/>
      <c r="H23" s="301"/>
      <c r="I23" s="301"/>
      <c r="J23" s="301"/>
      <c r="K23" s="301"/>
      <c r="L23" s="301"/>
      <c r="M23" s="301"/>
      <c r="N23" s="301"/>
      <c r="O23" s="301"/>
      <c r="P23" s="301"/>
    </row>
    <row r="24" spans="1:16" ht="12.75">
      <c r="A24" s="301"/>
      <c r="B24" s="301"/>
      <c r="C24" s="301"/>
      <c r="D24" s="301"/>
      <c r="E24" s="301"/>
      <c r="F24" s="301"/>
      <c r="G24" s="301"/>
      <c r="H24" s="301"/>
      <c r="I24" s="301"/>
      <c r="J24" s="301"/>
      <c r="K24" s="301"/>
      <c r="L24" s="301"/>
      <c r="M24" s="301"/>
      <c r="N24" s="301"/>
      <c r="O24" s="301"/>
      <c r="P24" s="301"/>
    </row>
    <row r="25" spans="1:16" ht="12.75">
      <c r="A25" s="301"/>
      <c r="B25" s="301"/>
      <c r="C25" s="301"/>
      <c r="D25" s="301"/>
      <c r="E25" s="301"/>
      <c r="F25" s="301"/>
      <c r="G25" s="301"/>
      <c r="H25" s="301"/>
      <c r="I25" s="301"/>
      <c r="J25" s="301"/>
      <c r="K25" s="301"/>
      <c r="L25" s="301"/>
      <c r="M25" s="301"/>
      <c r="N25" s="301"/>
      <c r="O25" s="301"/>
      <c r="P25" s="301"/>
    </row>
    <row r="26" spans="1:16" ht="12.75">
      <c r="A26" s="301"/>
      <c r="B26" s="301"/>
      <c r="C26" s="301"/>
      <c r="D26" s="301"/>
      <c r="E26" s="301"/>
      <c r="F26" s="301"/>
      <c r="G26" s="301"/>
      <c r="H26" s="301"/>
      <c r="I26" s="301"/>
      <c r="J26" s="301"/>
      <c r="K26" s="301"/>
      <c r="L26" s="301"/>
      <c r="M26" s="301"/>
      <c r="N26" s="301"/>
      <c r="O26" s="301"/>
      <c r="P26" s="301"/>
    </row>
    <row r="27" spans="1:16" ht="12.75">
      <c r="A27" s="301"/>
      <c r="B27" s="301"/>
      <c r="C27" s="301"/>
      <c r="D27" s="301"/>
      <c r="E27" s="301"/>
      <c r="F27" s="301"/>
      <c r="G27" s="301"/>
      <c r="H27" s="301"/>
      <c r="I27" s="301"/>
      <c r="J27" s="301"/>
      <c r="K27" s="301"/>
      <c r="L27" s="301"/>
      <c r="M27" s="301"/>
      <c r="N27" s="301"/>
      <c r="O27" s="301"/>
      <c r="P27" s="301"/>
    </row>
    <row r="28" spans="1:16" ht="12.75">
      <c r="A28" s="301"/>
      <c r="B28" s="301"/>
      <c r="C28" s="301"/>
      <c r="D28" s="301"/>
      <c r="E28" s="301"/>
      <c r="F28" s="301"/>
      <c r="G28" s="301"/>
      <c r="H28" s="301"/>
      <c r="I28" s="301"/>
      <c r="J28" s="301"/>
      <c r="K28" s="301"/>
      <c r="L28" s="301"/>
      <c r="M28" s="301"/>
      <c r="N28" s="301"/>
      <c r="O28" s="301"/>
      <c r="P28" s="301"/>
    </row>
    <row r="29" spans="1:16" ht="12.75">
      <c r="A29" s="301"/>
      <c r="B29" s="301"/>
      <c r="C29" s="301"/>
      <c r="D29" s="301"/>
      <c r="E29" s="301"/>
      <c r="F29" s="301"/>
      <c r="G29" s="301"/>
      <c r="H29" s="301"/>
      <c r="I29" s="301"/>
      <c r="J29" s="301"/>
      <c r="K29" s="301"/>
      <c r="L29" s="301"/>
      <c r="M29" s="301"/>
      <c r="N29" s="301"/>
      <c r="O29" s="301"/>
      <c r="P29" s="301"/>
    </row>
    <row r="30" spans="1:16" ht="12.75">
      <c r="A30" s="301"/>
      <c r="B30" s="301"/>
      <c r="C30" s="301"/>
      <c r="D30" s="301"/>
      <c r="E30" s="301"/>
      <c r="F30" s="301"/>
      <c r="G30" s="301"/>
      <c r="H30" s="301"/>
      <c r="I30" s="301"/>
      <c r="J30" s="301"/>
      <c r="K30" s="301"/>
      <c r="L30" s="301"/>
      <c r="M30" s="301"/>
      <c r="N30" s="301"/>
      <c r="O30" s="301"/>
      <c r="P30" s="301"/>
    </row>
    <row r="31" spans="1:16" ht="12.75">
      <c r="A31" s="301"/>
      <c r="B31" s="301"/>
      <c r="C31" s="301"/>
      <c r="D31" s="301"/>
      <c r="E31" s="301"/>
      <c r="F31" s="301"/>
      <c r="G31" s="301"/>
      <c r="H31" s="301"/>
      <c r="I31" s="301"/>
      <c r="J31" s="301"/>
      <c r="K31" s="301"/>
      <c r="L31" s="301"/>
      <c r="M31" s="301"/>
      <c r="N31" s="301"/>
      <c r="O31" s="301"/>
      <c r="P31" s="301"/>
    </row>
    <row r="32" spans="1:16" ht="12.75">
      <c r="A32" s="301"/>
      <c r="B32" s="301"/>
      <c r="C32" s="301"/>
      <c r="D32" s="301"/>
      <c r="E32" s="301"/>
      <c r="F32" s="301"/>
      <c r="G32" s="301"/>
      <c r="H32" s="301"/>
      <c r="I32" s="301"/>
      <c r="J32" s="301"/>
      <c r="K32" s="301"/>
      <c r="L32" s="301"/>
      <c r="M32" s="301"/>
      <c r="N32" s="301"/>
      <c r="O32" s="301"/>
      <c r="P32" s="301"/>
    </row>
    <row r="33" spans="1:16" ht="12.75">
      <c r="A33" s="301"/>
      <c r="B33" s="301"/>
      <c r="C33" s="301"/>
      <c r="D33" s="301"/>
      <c r="E33" s="301"/>
      <c r="F33" s="301"/>
      <c r="G33" s="301"/>
      <c r="H33" s="301"/>
      <c r="I33" s="301"/>
      <c r="J33" s="301"/>
      <c r="K33" s="301"/>
      <c r="L33" s="301"/>
      <c r="M33" s="301"/>
      <c r="N33" s="301"/>
      <c r="O33" s="301"/>
      <c r="P33" s="301"/>
    </row>
    <row r="34" spans="1:16" ht="12.75">
      <c r="A34" s="301"/>
      <c r="B34" s="301"/>
      <c r="C34" s="301"/>
      <c r="D34" s="301"/>
      <c r="E34" s="301"/>
      <c r="F34" s="301"/>
      <c r="G34" s="301"/>
      <c r="H34" s="301"/>
      <c r="I34" s="301"/>
      <c r="J34" s="301"/>
      <c r="K34" s="301"/>
      <c r="L34" s="301"/>
      <c r="M34" s="301"/>
      <c r="N34" s="301"/>
      <c r="O34" s="301"/>
      <c r="P34" s="301"/>
    </row>
    <row r="35" ht="12.75">
      <c r="A35" s="301"/>
    </row>
  </sheetData>
  <sheetProtection password="D387" sheet="1" objects="1" scenarios="1"/>
  <printOptions/>
  <pageMargins left="0.75" right="0.75" top="1" bottom="1" header="0.5" footer="0.5"/>
  <pageSetup fitToHeight="1" fitToWidth="1" horizontalDpi="600" verticalDpi="600" orientation="portrait" scale="90" r:id="rId1"/>
  <headerFooter alignWithMargins="0">
    <oddHeader>&amp;CTotal Cost of Application Ownership (TCA) Calculator</oddHeader>
    <oddFooter>&amp;LThe Tolly Group TCA Calculator
&amp;P&amp;D&amp;T&amp;R© The Tolly Group, 1999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Atul Kupoor</Manager>
  <Company>The Tolly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TCA </dc:title>
  <dc:subject>TCA</dc:subject>
  <dc:creator>The Tolly Group</dc:creator>
  <cp:keywords/>
  <dc:description/>
  <cp:lastModifiedBy>KOlson</cp:lastModifiedBy>
  <cp:lastPrinted>1999-08-13T21:32:08Z</cp:lastPrinted>
  <dcterms:created xsi:type="dcterms:W3CDTF">1999-03-10T20:35:45Z</dcterms:created>
  <dcterms:modified xsi:type="dcterms:W3CDTF">2001-11-30T23:14:09Z</dcterms:modified>
  <cp:category/>
  <cp:version/>
  <cp:contentType/>
  <cp:contentStatus/>
</cp:coreProperties>
</file>